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2/Delade dokument/Delade filer/Kalkyler Uppdatering/"/>
    </mc:Choice>
  </mc:AlternateContent>
  <xr:revisionPtr revIDLastSave="10" documentId="8_{E200462D-9BF5-479F-B630-2AA8A95A6035}" xr6:coauthVersionLast="47" xr6:coauthVersionMax="47" xr10:uidLastSave="{DF157141-F129-40F5-9716-70F10E0E6BD1}"/>
  <bookViews>
    <workbookView xWindow="-108" yWindow="-108" windowWidth="23256" windowHeight="12456" xr2:uid="{8B3AC3CE-256D-4ED3-9273-E66D9AF971A4}"/>
  </bookViews>
  <sheets>
    <sheet name="Mjölkrastj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A72" i="1"/>
  <c r="A71" i="1"/>
  <c r="A70" i="1"/>
  <c r="A69" i="1"/>
  <c r="A68" i="1"/>
  <c r="A67" i="1"/>
  <c r="A66" i="1"/>
  <c r="A65" i="1"/>
  <c r="F57" i="1"/>
  <c r="G57" i="1" s="1"/>
  <c r="G56" i="1"/>
  <c r="F56" i="1"/>
  <c r="F55" i="1"/>
  <c r="G55" i="1" s="1"/>
  <c r="E54" i="1"/>
  <c r="F54" i="1" s="1"/>
  <c r="G44" i="1"/>
  <c r="F44" i="1"/>
  <c r="G42" i="1"/>
  <c r="F42" i="1"/>
  <c r="G34" i="1"/>
  <c r="F34" i="1"/>
  <c r="F33" i="1"/>
  <c r="C69" i="1" s="1"/>
  <c r="D29" i="1"/>
  <c r="F29" i="1" s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F21" i="1"/>
  <c r="G21" i="1" s="1"/>
  <c r="F20" i="1"/>
  <c r="D15" i="1"/>
  <c r="F15" i="1" s="1"/>
  <c r="G15" i="1" s="1"/>
  <c r="D14" i="1"/>
  <c r="F13" i="1"/>
  <c r="G13" i="1" s="1"/>
  <c r="D13" i="1"/>
  <c r="D12" i="1"/>
  <c r="F12" i="1" s="1"/>
  <c r="C8" i="1"/>
  <c r="F43" i="1" s="1"/>
  <c r="F14" i="1" l="1"/>
  <c r="G14" i="1" s="1"/>
  <c r="F58" i="1"/>
  <c r="G54" i="1"/>
  <c r="G58" i="1" s="1"/>
  <c r="G12" i="1"/>
  <c r="F16" i="1"/>
  <c r="C71" i="1"/>
  <c r="G43" i="1"/>
  <c r="D71" i="1" s="1"/>
  <c r="D30" i="1"/>
  <c r="F30" i="1" s="1"/>
  <c r="G30" i="1" s="1"/>
  <c r="C47" i="1"/>
  <c r="C46" i="1" s="1"/>
  <c r="G33" i="1"/>
  <c r="D69" i="1" s="1"/>
  <c r="F45" i="1"/>
  <c r="G20" i="1"/>
  <c r="D31" i="1"/>
  <c r="F31" i="1" s="1"/>
  <c r="G23" i="1"/>
  <c r="D35" i="1"/>
  <c r="F35" i="1" s="1"/>
  <c r="D32" i="1"/>
  <c r="F32" i="1" s="1"/>
  <c r="G45" i="1" l="1"/>
  <c r="C66" i="1"/>
  <c r="G32" i="1"/>
  <c r="D68" i="1" s="1"/>
  <c r="C68" i="1"/>
  <c r="F5" i="1"/>
  <c r="E22" i="1" s="1"/>
  <c r="F22" i="1" s="1"/>
  <c r="D46" i="1"/>
  <c r="F46" i="1" s="1"/>
  <c r="G46" i="1" s="1"/>
  <c r="C70" i="1"/>
  <c r="G35" i="1"/>
  <c r="D70" i="1" s="1"/>
  <c r="D66" i="1"/>
  <c r="G16" i="1"/>
  <c r="G31" i="1"/>
  <c r="D67" i="1" s="1"/>
  <c r="C67" i="1"/>
  <c r="G22" i="1" l="1"/>
  <c r="D65" i="1" s="1"/>
  <c r="D47" i="1"/>
  <c r="F47" i="1" s="1"/>
  <c r="G47" i="1" s="1"/>
  <c r="D72" i="1" s="1"/>
  <c r="C65" i="1"/>
  <c r="F36" i="1"/>
  <c r="F48" i="1" l="1"/>
  <c r="G48" i="1" s="1"/>
  <c r="C72" i="1"/>
  <c r="C73" i="1" s="1"/>
  <c r="D73" i="1"/>
  <c r="G36" i="1"/>
  <c r="F38" i="1"/>
  <c r="F50" i="1" l="1"/>
  <c r="G38" i="1"/>
  <c r="F60" i="1" l="1"/>
  <c r="G60" i="1" s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Lindahl</author>
    <author>tc={FD6981B0-5E29-4AD0-BE31-DE57E2414BC0}</author>
    <author>tc={4F33AAEB-0C17-46BC-B718-4E16DC2A91BD}</author>
    <author>tc={BC303423-81BA-48D3-A4EA-7397538E130C}</author>
    <author>tc={6ED8FEE1-F052-4AE9-B6B8-984875453C21}</author>
  </authors>
  <commentList>
    <comment ref="D15" authorId="0" shapeId="0" xr:uid="{79128862-3A69-43A8-A620-9EC3A1A1B3AA}">
      <text>
        <r>
          <rPr>
            <b/>
            <sz val="10"/>
            <color indexed="81"/>
            <rFont val="Tahoma"/>
            <family val="2"/>
          </rPr>
          <t>OBS
Förutsätter tillräcklig areal dvs 1 ha/DE, läs mer på www.sjv.se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54" authorId="1" shapeId="0" xr:uid="{FD6981B0-5E29-4AD0-BE31-DE57E2414BC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5" authorId="2" shapeId="0" xr:uid="{4F33AAEB-0C17-46BC-B718-4E16DC2A91BD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6" authorId="3" shapeId="0" xr:uid="{BC303423-81BA-48D3-A4EA-7397538E130C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7" authorId="4" shapeId="0" xr:uid="{6ED8FEE1-F052-4AE9-B6B8-984875453C21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<sst xmlns="http://schemas.openxmlformats.org/spreadsheetml/2006/main" count="105" uniqueCount="71">
  <si>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Mjölkrastjur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</si>
  <si>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</si>
  <si>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</si>
  <si>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</si>
  <si>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</si>
  <si>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</si>
  <si>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</si>
  <si>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</si>
  <si>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</si>
  <si>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</si>
  <si>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</si>
  <si>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</si>
  <si>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</si>
  <si>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</si>
  <si>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</si>
  <si>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</si>
  <si>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Eko tillägg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</si>
  <si>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</si>
  <si>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</si>
  <si>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</si>
  <si>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</si>
  <si>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</si>
  <si>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</si>
  <si>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</si>
  <si>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</si>
  <si>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</si>
  <si>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</si>
  <si>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</si>
  <si>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</si>
  <si>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</si>
  <si>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</si>
  <si>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</si>
  <si>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</si>
  <si>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</si>
  <si>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</si>
  <si>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</si>
  <si>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</si>
  <si>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</si>
  <si>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</si>
  <si>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</si>
  <si>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</si>
  <si>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</si>
  <si>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</si>
  <si>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vaccination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</si>
  <si>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</si>
  <si>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</si>
  <si>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</si>
  <si>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</si>
  <si>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</si>
  <si>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</si>
  <si>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</si>
  <si>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</si>
  <si>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</si>
  <si>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</si>
  <si>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</si>
  <si>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</si>
  <si>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</si>
  <si>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</si>
  <si>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</si>
  <si>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</si>
  <si>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</si>
  <si>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</si>
  <si>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</si>
  <si>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</si>
  <si>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</si>
  <si>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</si>
  <si>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</si>
  <si>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Mjölkrastjur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</si>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</sst>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#,##0_ ;\-#,##0\ "/>
  </numFmts>
  <fonts count="16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2" fontId="6" fillId="0" borderId="1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4" fillId="0" borderId="0" xfId="0" applyNumberFormat="1" applyFont="1"/>
    <xf numFmtId="1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" fontId="6" fillId="3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5" borderId="3" xfId="2" applyNumberFormat="1" applyFont="1" applyFill="1" applyBorder="1" applyAlignment="1" applyProtection="1">
      <alignment horizontal="right"/>
    </xf>
    <xf numFmtId="44" fontId="5" fillId="5" borderId="3" xfId="2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4" fontId="6" fillId="0" borderId="0" xfId="0" applyNumberFormat="1" applyFont="1" applyAlignment="1" applyProtection="1">
      <alignment horizontal="center"/>
      <protection locked="0"/>
    </xf>
    <xf numFmtId="44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44" fontId="5" fillId="0" borderId="9" xfId="0" applyNumberFormat="1" applyFont="1" applyBorder="1" applyAlignment="1">
      <alignment horizontal="right"/>
    </xf>
    <xf numFmtId="0" fontId="6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10" xfId="3" applyFont="1" applyBorder="1" applyAlignment="1" applyProtection="1">
      <alignment horizontal="center"/>
      <protection locked="0"/>
    </xf>
    <xf numFmtId="3" fontId="6" fillId="3" borderId="1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/>
    <xf numFmtId="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165" fontId="6" fillId="3" borderId="10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3" borderId="10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4" fontId="6" fillId="3" borderId="6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7" borderId="3" xfId="2" applyNumberFormat="1" applyFont="1" applyFill="1" applyBorder="1" applyAlignment="1" applyProtection="1">
      <alignment horizontal="right"/>
    </xf>
    <xf numFmtId="44" fontId="6" fillId="7" borderId="3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1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164" fontId="5" fillId="3" borderId="4" xfId="2" applyNumberFormat="1" applyFont="1" applyFill="1" applyBorder="1" applyAlignment="1" applyProtection="1">
      <alignment horizontal="right"/>
    </xf>
    <xf numFmtId="7" fontId="5" fillId="3" borderId="4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44" fontId="6" fillId="0" borderId="10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10" xfId="0" applyNumberFormat="1" applyFont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>
      <alignment horizontal="center"/>
    </xf>
    <xf numFmtId="9" fontId="6" fillId="0" borderId="10" xfId="3" applyFont="1" applyFill="1" applyBorder="1" applyAlignment="1" applyProtection="1">
      <alignment horizontal="center"/>
      <protection locked="0"/>
    </xf>
    <xf numFmtId="165" fontId="6" fillId="3" borderId="2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 applyProtection="1">
      <alignment horizontal="center"/>
      <protection locked="0"/>
    </xf>
    <xf numFmtId="164" fontId="6" fillId="10" borderId="3" xfId="2" applyNumberFormat="1" applyFont="1" applyFill="1" applyBorder="1" applyAlignment="1" applyProtection="1">
      <alignment horizontal="right"/>
    </xf>
    <xf numFmtId="44" fontId="6" fillId="10" borderId="3" xfId="2" applyFont="1" applyFill="1" applyBorder="1" applyAlignment="1" applyProtection="1">
      <alignment horizontal="right"/>
    </xf>
    <xf numFmtId="0" fontId="5" fillId="0" borderId="12" xfId="0" applyFont="1" applyBorder="1"/>
    <xf numFmtId="0" fontId="6" fillId="0" borderId="0" xfId="0" applyFont="1" applyAlignment="1">
      <alignment horizontal="center"/>
    </xf>
    <xf numFmtId="166" fontId="6" fillId="3" borderId="10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6" fontId="6" fillId="0" borderId="10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66" fontId="6" fillId="0" borderId="10" xfId="1" applyNumberFormat="1" applyFont="1" applyBorder="1" applyAlignment="1">
      <alignment horizontal="center"/>
    </xf>
    <xf numFmtId="164" fontId="5" fillId="12" borderId="3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12" fillId="0" borderId="7" xfId="0" applyFont="1" applyBorder="1"/>
    <xf numFmtId="0" fontId="5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0" xfId="0" applyFont="1"/>
    <xf numFmtId="164" fontId="13" fillId="0" borderId="0" xfId="0" applyNumberFormat="1" applyFont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9" fontId="4" fillId="0" borderId="0" xfId="3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Mjölkrastjur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F8-4F58-A02B-E57D1789C1EF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F8-4F58-A02B-E57D1789C1EF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F8-4F58-A02B-E57D1789C1EF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F8-4F58-A02B-E57D1789C1EF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AF8-4F58-A02B-E57D1789C1EF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AF8-4F58-A02B-E57D1789C1EF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AF8-4F58-A02B-E57D1789C1EF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AF8-4F58-A02B-E57D1789C1E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Mjölkrastjur!$A$65:$A$72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Mjölkrastjur!$C$65:$C$72</c:f>
              <c:numCache>
                <c:formatCode>_-* #\ ##0\ "kr"_-;\-* #\ ##0\ "kr"_-;_-* "-"??\ "kr"_-;_-@_-</c:formatCode>
                <c:ptCount val="8"/>
                <c:pt idx="0">
                  <c:v>4684.4430000000002</c:v>
                </c:pt>
                <c:pt idx="1">
                  <c:v>9229.44</c:v>
                </c:pt>
                <c:pt idx="2">
                  <c:v>1185.6000000000001</c:v>
                </c:pt>
                <c:pt idx="3">
                  <c:v>2394</c:v>
                </c:pt>
                <c:pt idx="4">
                  <c:v>268</c:v>
                </c:pt>
                <c:pt idx="5">
                  <c:v>752.40000000000009</c:v>
                </c:pt>
                <c:pt idx="6">
                  <c:v>1887.5</c:v>
                </c:pt>
                <c:pt idx="7">
                  <c:v>2012.1569999999997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AF8-4F58-A02B-E57D1789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Mjölkrastjur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41-44AF-A998-3A5CA10E4729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41-44AF-A998-3A5CA10E4729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41-44AF-A998-3A5CA10E4729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41-44AF-A998-3A5CA10E4729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41-44AF-A998-3A5CA10E4729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41-44AF-A998-3A5CA10E4729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841-44AF-A998-3A5CA10E4729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841-44AF-A998-3A5CA10E4729}"/>
              </c:ext>
            </c:extLst>
          </c:dPt>
          <c:dLbls>
            <c:numFmt formatCode="_-* #,##0.0\ &quot;kr&quot;_-;\-* #,##0.0\ &quot;kr&quot;_-;_-* &quot;-&quot;?\ &quot;kr&quot;_-;_-@_-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Mjölkrastjur!$A$65:$A$72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Mjölkrastjur!$D$65:$D$72</c:f>
              <c:numCache>
                <c:formatCode>_-* #\ ##0\ "kr"_-;\-* #\ ##0\ "kr"_-;_-* "-"??\ "kr"_-;_-@_-</c:formatCode>
                <c:ptCount val="8"/>
                <c:pt idx="0">
                  <c:v>14.41367076923077</c:v>
                </c:pt>
                <c:pt idx="1">
                  <c:v>28.398276923076924</c:v>
                </c:pt>
                <c:pt idx="2">
                  <c:v>3.6480000000000006</c:v>
                </c:pt>
                <c:pt idx="3">
                  <c:v>7.3661538461538463</c:v>
                </c:pt>
                <c:pt idx="4">
                  <c:v>0.82461538461538464</c:v>
                </c:pt>
                <c:pt idx="5">
                  <c:v>2.3150769230769233</c:v>
                </c:pt>
                <c:pt idx="6">
                  <c:v>5.8076923076923084</c:v>
                </c:pt>
                <c:pt idx="7">
                  <c:v>6.1912523076923076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841-44AF-A998-3A5CA10E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&amp;C&amp;"Myriad Pro,Normal"Gård &amp; Djurhälsan – Växel: 0771-21 65 00 – www.gårdochdjurhälsan.se</c:oddFooter>
    </c:headerFooter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76</xdr:row>
      <xdr:rowOff>0</xdr:rowOff>
    </xdr:from>
    <xdr:to>
      <xdr:col>5</xdr:col>
      <xdr:colOff>784860</xdr:colOff>
      <xdr:row>98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99AA80A-96D7-4A58-A5B4-72F558101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100</xdr:row>
      <xdr:rowOff>0</xdr:rowOff>
    </xdr:from>
    <xdr:to>
      <xdr:col>6</xdr:col>
      <xdr:colOff>476250</xdr:colOff>
      <xdr:row>117</xdr:row>
      <xdr:rowOff>106680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78E568-BE60-43A4-A669-936F9998C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335DD4E4-20E6-4A75-BFE6-508B9370DF9B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4" dT="2023-12-11T09:05:52.33" personId="{335DD4E4-20E6-4A75-BFE6-508B9370DF9B}" id="{FD6981B0-5E29-4AD0-BE31-DE57E2414BC0}">
    <text xml:space="preserve">Gårdsstödet är 143,51 euro per hektar för 2023. </text>
  </threadedComment>
  <threadedComment ref="E55" dT="2023-12-11T09:22:52.68" personId="{335DD4E4-20E6-4A75-BFE6-508B9370DF9B}" id="{4F33AAEB-0C17-46BC-B718-4E16DC2A91BD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6" dT="2023-12-11T09:23:33.74" personId="{335DD4E4-20E6-4A75-BFE6-508B9370DF9B}" id="{BC303423-81BA-48D3-A4EA-7397538E130C}">
    <text>Ersättningen är 1 850 kr/ha för 2023</text>
  </threadedComment>
  <threadedComment ref="E57" dT="2023-12-11T09:23:11.28" personId="{335DD4E4-20E6-4A75-BFE6-508B9370DF9B}" id="{6ED8FEE1-F052-4AE9-B6B8-984875453C21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427E6-1388-4254-A79B-055934919F63}">
  <sheetPr>
    <tabColor rgb="FF648C14"/>
  </sheetPr>
  <dimension ref="A3:H76"/>
  <sheetViews>
    <sheetView showGridLines="0" tabSelected="1" zoomScaleNormal="100" workbookViewId="0">
      <selection activeCell="C7" sqref="C7"/>
    </sheetView>
  </sheetViews>
  <sheetFormatPr defaultColWidth="9.109375" defaultRowHeight="13.8"/>
  <cols>
    <col min="1" max="1" width="14" style="5" customWidth="1"/>
    <col min="2" max="2" width="36.33203125" style="5" bestFit="1" customWidth="1"/>
    <col min="3" max="3" width="9.88671875" style="74" bestFit="1" customWidth="1"/>
    <col min="4" max="4" width="10.6640625" style="74" customWidth="1"/>
    <col min="5" max="5" width="9.33203125" style="74" customWidth="1"/>
    <col min="6" max="6" width="12.44140625" style="104" customWidth="1"/>
    <col min="7" max="7" width="11" style="11" customWidth="1"/>
    <col min="8" max="8" width="9.88671875" style="5" customWidth="1"/>
    <col min="9" max="9" width="8.44140625" style="5" customWidth="1"/>
    <col min="10" max="16384" width="9.109375" style="5"/>
  </cols>
  <sheetData>
    <row r="3" spans="1:7" s="3" customFormat="1" ht="15.6">
      <c r="A3" s="115" t="s">
        <v>0</v>
      </c>
      <c r="B3" s="115"/>
      <c r="C3" s="115"/>
      <c r="D3" s="115"/>
      <c r="E3" s="115"/>
      <c r="F3" s="115"/>
      <c r="G3" s="2"/>
    </row>
    <row r="4" spans="1:7" s="3" customFormat="1" ht="15.6">
      <c r="A4" s="1"/>
      <c r="C4" s="4"/>
      <c r="G4" s="2"/>
    </row>
    <row r="5" spans="1:7" ht="14.4">
      <c r="B5" s="6" t="s">
        <v>1</v>
      </c>
      <c r="C5" s="7">
        <v>11.3</v>
      </c>
      <c r="D5" s="8"/>
      <c r="E5" s="9" t="s">
        <v>2</v>
      </c>
      <c r="F5" s="10">
        <f>((F21+F23+F24+F25+F26+F27+F28+F29+F32+F33+F34+F35+F43+F45+F44)/2)+F20</f>
        <v>11688.86</v>
      </c>
    </row>
    <row r="6" spans="1:7" ht="14.4">
      <c r="B6" s="6" t="s">
        <v>3</v>
      </c>
      <c r="C6" s="12">
        <v>3</v>
      </c>
      <c r="D6" s="6" t="s">
        <v>4</v>
      </c>
      <c r="E6" s="9"/>
      <c r="F6" s="10"/>
    </row>
    <row r="7" spans="1:7" ht="14.4">
      <c r="B7" s="6" t="s">
        <v>5</v>
      </c>
      <c r="C7" s="13">
        <v>18</v>
      </c>
      <c r="D7" s="6" t="s">
        <v>4</v>
      </c>
      <c r="E7" s="116"/>
      <c r="F7" s="116"/>
    </row>
    <row r="8" spans="1:7" ht="14.4">
      <c r="B8" s="6" t="s">
        <v>6</v>
      </c>
      <c r="C8" s="14">
        <f>C7-C6</f>
        <v>15</v>
      </c>
      <c r="D8" s="6" t="s">
        <v>4</v>
      </c>
      <c r="E8" s="116"/>
      <c r="F8" s="116"/>
    </row>
    <row r="9" spans="1:7" ht="14.4">
      <c r="B9" s="15" t="s">
        <v>7</v>
      </c>
      <c r="C9" s="16">
        <v>325</v>
      </c>
      <c r="D9" s="15" t="s">
        <v>8</v>
      </c>
      <c r="E9" s="5"/>
      <c r="F9" s="5"/>
    </row>
    <row r="10" spans="1:7" s="17" customFormat="1" ht="13.2">
      <c r="B10" s="18"/>
      <c r="C10" s="19"/>
      <c r="E10" s="19"/>
      <c r="F10" s="20"/>
      <c r="G10" s="21"/>
    </row>
    <row r="11" spans="1:7" ht="15" thickBot="1">
      <c r="A11" s="22"/>
      <c r="B11" s="23"/>
      <c r="C11" s="24" t="s">
        <v>9</v>
      </c>
      <c r="D11" s="24" t="s">
        <v>10</v>
      </c>
      <c r="E11" s="24" t="s">
        <v>11</v>
      </c>
      <c r="F11" s="25" t="s">
        <v>12</v>
      </c>
      <c r="G11" s="26" t="s">
        <v>13</v>
      </c>
    </row>
    <row r="12" spans="1:7" ht="14.4">
      <c r="A12" s="27" t="s">
        <v>14</v>
      </c>
      <c r="B12" s="28" t="s">
        <v>15</v>
      </c>
      <c r="C12" s="29" t="s">
        <v>8</v>
      </c>
      <c r="D12" s="30">
        <f>C9</f>
        <v>325</v>
      </c>
      <c r="E12" s="31">
        <v>65</v>
      </c>
      <c r="F12" s="32">
        <f>PRODUCT(D12*E12)</f>
        <v>21125</v>
      </c>
      <c r="G12" s="32">
        <f>F12/$C$9</f>
        <v>65</v>
      </c>
    </row>
    <row r="13" spans="1:7" ht="14.4">
      <c r="A13" s="33"/>
      <c r="B13" s="34" t="s">
        <v>16</v>
      </c>
      <c r="C13" s="35"/>
      <c r="D13" s="36">
        <f>D12</f>
        <v>325</v>
      </c>
      <c r="E13" s="37"/>
      <c r="F13" s="32">
        <f>PRODUCT(D13*E13)</f>
        <v>0</v>
      </c>
      <c r="G13" s="32">
        <f t="shared" ref="G13:G50" si="0">F13/$C$9</f>
        <v>0</v>
      </c>
    </row>
    <row r="14" spans="1:7" ht="14.4">
      <c r="A14" s="27" t="s">
        <v>17</v>
      </c>
      <c r="B14" s="34" t="s">
        <v>18</v>
      </c>
      <c r="C14" s="35"/>
      <c r="D14" s="38">
        <f>(C7-12)/12</f>
        <v>0.5</v>
      </c>
      <c r="E14" s="39">
        <f>92.52*C5</f>
        <v>1045.4760000000001</v>
      </c>
      <c r="F14" s="32">
        <f>D14*E14</f>
        <v>522.73800000000006</v>
      </c>
      <c r="G14" s="32">
        <f t="shared" si="0"/>
        <v>1.6084246153846156</v>
      </c>
    </row>
    <row r="15" spans="1:7" ht="14.4">
      <c r="B15" s="34" t="s">
        <v>19</v>
      </c>
      <c r="C15" s="35"/>
      <c r="D15" s="38">
        <f>1/1.65*C8/12</f>
        <v>0.75757575757575768</v>
      </c>
      <c r="E15" s="40"/>
      <c r="F15" s="32">
        <f>D15*E15</f>
        <v>0</v>
      </c>
      <c r="G15" s="32">
        <f>F15/$C$9</f>
        <v>0</v>
      </c>
    </row>
    <row r="16" spans="1:7" s="44" customFormat="1" ht="15" thickBot="1">
      <c r="A16" s="22" t="s">
        <v>20</v>
      </c>
      <c r="B16" s="23"/>
      <c r="C16" s="41"/>
      <c r="D16" s="41"/>
      <c r="E16" s="41"/>
      <c r="F16" s="42">
        <f>SUM(F12:F14)</f>
        <v>21647.738000000001</v>
      </c>
      <c r="G16" s="43">
        <f t="shared" si="0"/>
        <v>66.608424615384621</v>
      </c>
    </row>
    <row r="17" spans="1:8" s="17" customFormat="1" ht="14.4">
      <c r="C17" s="19"/>
      <c r="D17" s="19"/>
      <c r="E17" s="19"/>
      <c r="F17" s="45"/>
      <c r="G17" s="46"/>
    </row>
    <row r="18" spans="1:8" s="17" customFormat="1" ht="14.4">
      <c r="B18" s="19"/>
      <c r="C18" s="19"/>
      <c r="D18" s="19"/>
      <c r="E18" s="19"/>
      <c r="F18" s="45"/>
      <c r="G18" s="47"/>
    </row>
    <row r="19" spans="1:8" ht="15" thickBot="1">
      <c r="A19" s="22" t="s">
        <v>21</v>
      </c>
      <c r="B19" s="48"/>
      <c r="C19" s="24" t="s">
        <v>9</v>
      </c>
      <c r="D19" s="24" t="s">
        <v>10</v>
      </c>
      <c r="E19" s="24" t="s">
        <v>11</v>
      </c>
      <c r="F19" s="25" t="s">
        <v>12</v>
      </c>
      <c r="G19" s="49" t="s">
        <v>13</v>
      </c>
    </row>
    <row r="20" spans="1:8" ht="14.4">
      <c r="A20" s="27" t="s">
        <v>22</v>
      </c>
      <c r="B20" s="50" t="s">
        <v>23</v>
      </c>
      <c r="C20" s="51" t="s">
        <v>8</v>
      </c>
      <c r="D20" s="52">
        <v>100</v>
      </c>
      <c r="E20" s="53">
        <v>38</v>
      </c>
      <c r="F20" s="54">
        <f>PRODUCT(D20*E20)</f>
        <v>3800</v>
      </c>
      <c r="G20" s="55">
        <f t="shared" si="0"/>
        <v>11.692307692307692</v>
      </c>
    </row>
    <row r="21" spans="1:8" ht="14.4">
      <c r="A21" s="27"/>
      <c r="B21" s="50" t="s">
        <v>24</v>
      </c>
      <c r="C21" s="51" t="s">
        <v>25</v>
      </c>
      <c r="D21" s="52">
        <v>1</v>
      </c>
      <c r="E21" s="53">
        <v>300</v>
      </c>
      <c r="F21" s="54">
        <f>(D21*E21)</f>
        <v>300</v>
      </c>
      <c r="G21" s="55">
        <f t="shared" si="0"/>
        <v>0.92307692307692313</v>
      </c>
    </row>
    <row r="22" spans="1:8" ht="14.4">
      <c r="A22" s="27"/>
      <c r="B22" s="50" t="s">
        <v>26</v>
      </c>
      <c r="C22" s="51"/>
      <c r="D22" s="56">
        <v>0.05</v>
      </c>
      <c r="E22" s="57">
        <f>F5</f>
        <v>11688.86</v>
      </c>
      <c r="F22" s="54">
        <f>D22*E22</f>
        <v>584.4430000000001</v>
      </c>
      <c r="G22" s="55">
        <f t="shared" si="0"/>
        <v>1.7982861538461541</v>
      </c>
      <c r="H22" s="58"/>
    </row>
    <row r="23" spans="1:8" ht="14.4">
      <c r="A23" s="27" t="s">
        <v>27</v>
      </c>
      <c r="B23" s="50" t="s">
        <v>28</v>
      </c>
      <c r="C23" s="51" t="s">
        <v>29</v>
      </c>
      <c r="D23" s="52">
        <v>1800</v>
      </c>
      <c r="E23" s="59">
        <v>1.8</v>
      </c>
      <c r="F23" s="54">
        <f t="shared" ref="F23:F34" si="1">PRODUCT(D23*E23)</f>
        <v>3240</v>
      </c>
      <c r="G23" s="55">
        <f t="shared" si="0"/>
        <v>9.9692307692307693</v>
      </c>
    </row>
    <row r="24" spans="1:8" ht="14.4">
      <c r="A24" s="27"/>
      <c r="B24" s="60" t="s">
        <v>30</v>
      </c>
      <c r="C24" s="51" t="s">
        <v>29</v>
      </c>
      <c r="D24" s="61"/>
      <c r="E24" s="59"/>
      <c r="F24" s="54">
        <f t="shared" si="1"/>
        <v>0</v>
      </c>
      <c r="G24" s="55">
        <f t="shared" si="0"/>
        <v>0</v>
      </c>
    </row>
    <row r="25" spans="1:8" ht="14.4">
      <c r="A25" s="27"/>
      <c r="B25" s="60" t="s">
        <v>31</v>
      </c>
      <c r="C25" s="51" t="s">
        <v>29</v>
      </c>
      <c r="D25" s="61"/>
      <c r="E25" s="59"/>
      <c r="F25" s="54">
        <f t="shared" si="1"/>
        <v>0</v>
      </c>
      <c r="G25" s="55">
        <f t="shared" si="0"/>
        <v>0</v>
      </c>
    </row>
    <row r="26" spans="1:8" ht="14.4">
      <c r="A26" s="27"/>
      <c r="B26" s="60" t="s">
        <v>32</v>
      </c>
      <c r="C26" s="51" t="s">
        <v>8</v>
      </c>
      <c r="D26" s="61"/>
      <c r="E26" s="59"/>
      <c r="F26" s="54">
        <f t="shared" si="1"/>
        <v>0</v>
      </c>
      <c r="G26" s="55">
        <f t="shared" si="0"/>
        <v>0</v>
      </c>
    </row>
    <row r="27" spans="1:8" ht="14.4">
      <c r="A27" s="27"/>
      <c r="B27" s="60" t="s">
        <v>33</v>
      </c>
      <c r="C27" s="51" t="s">
        <v>8</v>
      </c>
      <c r="D27" s="62">
        <v>1800</v>
      </c>
      <c r="E27" s="59">
        <v>3.14</v>
      </c>
      <c r="F27" s="54">
        <f t="shared" si="1"/>
        <v>5652</v>
      </c>
      <c r="G27" s="55">
        <f t="shared" si="0"/>
        <v>17.39076923076923</v>
      </c>
    </row>
    <row r="28" spans="1:8" ht="14.4">
      <c r="A28" s="27"/>
      <c r="B28" s="60" t="s">
        <v>34</v>
      </c>
      <c r="C28" s="51" t="s">
        <v>35</v>
      </c>
      <c r="D28" s="52"/>
      <c r="E28" s="59"/>
      <c r="F28" s="54">
        <f t="shared" si="1"/>
        <v>0</v>
      </c>
      <c r="G28" s="55">
        <f t="shared" si="0"/>
        <v>0</v>
      </c>
    </row>
    <row r="29" spans="1:8" ht="14.4">
      <c r="A29" s="33"/>
      <c r="B29" s="34" t="s">
        <v>36</v>
      </c>
      <c r="C29" s="51" t="s">
        <v>35</v>
      </c>
      <c r="D29" s="63">
        <f>(C8*30.4)*0.07</f>
        <v>31.92</v>
      </c>
      <c r="E29" s="64">
        <v>8.5</v>
      </c>
      <c r="F29" s="54">
        <f t="shared" si="1"/>
        <v>271.32</v>
      </c>
      <c r="G29" s="55">
        <f t="shared" si="0"/>
        <v>0.83483076923076927</v>
      </c>
    </row>
    <row r="30" spans="1:8" ht="14.4">
      <c r="A30" s="33"/>
      <c r="B30" s="34" t="s">
        <v>37</v>
      </c>
      <c r="C30" s="51" t="s">
        <v>35</v>
      </c>
      <c r="D30" s="63">
        <f>0.05*(C8*30.4)</f>
        <v>22.8</v>
      </c>
      <c r="E30" s="64">
        <v>2.9</v>
      </c>
      <c r="F30" s="54">
        <f t="shared" si="1"/>
        <v>66.12</v>
      </c>
      <c r="G30" s="55">
        <f t="shared" si="0"/>
        <v>0.20344615384615386</v>
      </c>
    </row>
    <row r="31" spans="1:8" ht="14.4">
      <c r="A31" s="27" t="s">
        <v>38</v>
      </c>
      <c r="B31" s="34"/>
      <c r="C31" s="51" t="s">
        <v>39</v>
      </c>
      <c r="D31" s="63">
        <f>0.002*(C8*30.4)</f>
        <v>0.91200000000000003</v>
      </c>
      <c r="E31" s="40">
        <v>1300</v>
      </c>
      <c r="F31" s="54">
        <f t="shared" si="1"/>
        <v>1185.6000000000001</v>
      </c>
      <c r="G31" s="55">
        <f t="shared" si="0"/>
        <v>3.6480000000000006</v>
      </c>
    </row>
    <row r="32" spans="1:8" ht="14.4">
      <c r="A32" s="27" t="s">
        <v>40</v>
      </c>
      <c r="B32" s="60" t="s">
        <v>40</v>
      </c>
      <c r="C32" s="51" t="s">
        <v>8</v>
      </c>
      <c r="D32" s="65">
        <f>C8*30.4*3.5</f>
        <v>1596</v>
      </c>
      <c r="E32" s="59">
        <v>1.5</v>
      </c>
      <c r="F32" s="54">
        <f t="shared" si="1"/>
        <v>2394</v>
      </c>
      <c r="G32" s="55">
        <f t="shared" si="0"/>
        <v>7.3661538461538463</v>
      </c>
    </row>
    <row r="33" spans="1:8" ht="14.4">
      <c r="A33" s="27" t="s">
        <v>41</v>
      </c>
      <c r="B33" s="34" t="s">
        <v>42</v>
      </c>
      <c r="C33" s="51" t="s">
        <v>25</v>
      </c>
      <c r="D33" s="51">
        <v>1</v>
      </c>
      <c r="E33" s="40">
        <v>68</v>
      </c>
      <c r="F33" s="54">
        <f t="shared" si="1"/>
        <v>68</v>
      </c>
      <c r="G33" s="55">
        <f t="shared" si="0"/>
        <v>0.20923076923076922</v>
      </c>
    </row>
    <row r="34" spans="1:8" ht="14.4">
      <c r="B34" s="50" t="s">
        <v>43</v>
      </c>
      <c r="C34" s="51" t="s">
        <v>25</v>
      </c>
      <c r="D34" s="52">
        <v>1</v>
      </c>
      <c r="E34" s="37">
        <v>200</v>
      </c>
      <c r="F34" s="54">
        <f t="shared" si="1"/>
        <v>200</v>
      </c>
      <c r="G34" s="55">
        <f t="shared" si="0"/>
        <v>0.61538461538461542</v>
      </c>
    </row>
    <row r="35" spans="1:8" ht="14.4">
      <c r="A35" s="27" t="s">
        <v>44</v>
      </c>
      <c r="B35" s="66"/>
      <c r="C35" s="51" t="s">
        <v>39</v>
      </c>
      <c r="D35" s="67">
        <f>(C8*30.4*0.33)/60</f>
        <v>2.5080000000000005</v>
      </c>
      <c r="E35" s="37">
        <v>300</v>
      </c>
      <c r="F35" s="54">
        <f>D35*E35</f>
        <v>752.40000000000009</v>
      </c>
      <c r="G35" s="55">
        <f t="shared" si="0"/>
        <v>2.3150769230769233</v>
      </c>
    </row>
    <row r="36" spans="1:8" ht="15" thickBot="1">
      <c r="A36" s="22" t="s">
        <v>45</v>
      </c>
      <c r="B36" s="68"/>
      <c r="C36" s="69"/>
      <c r="D36" s="70"/>
      <c r="E36" s="71"/>
      <c r="F36" s="72">
        <f>SUM(F19:F35)</f>
        <v>18513.883000000002</v>
      </c>
      <c r="G36" s="73">
        <f t="shared" si="0"/>
        <v>56.965793846153851</v>
      </c>
    </row>
    <row r="37" spans="1:8" ht="14.4">
      <c r="F37" s="75"/>
      <c r="G37" s="46"/>
    </row>
    <row r="38" spans="1:8" s="44" customFormat="1" ht="15" thickBot="1">
      <c r="A38" s="76" t="s">
        <v>46</v>
      </c>
      <c r="B38" s="23"/>
      <c r="C38" s="77"/>
      <c r="D38" s="77"/>
      <c r="E38" s="78"/>
      <c r="F38" s="79">
        <f>F16-F36</f>
        <v>3133.8549999999996</v>
      </c>
      <c r="G38" s="80">
        <f t="shared" si="0"/>
        <v>9.6426307692307685</v>
      </c>
    </row>
    <row r="39" spans="1:8" s="17" customFormat="1" ht="14.4">
      <c r="C39" s="19"/>
      <c r="D39" s="19"/>
      <c r="E39" s="19"/>
      <c r="F39" s="81"/>
      <c r="G39" s="46"/>
    </row>
    <row r="40" spans="1:8" s="17" customFormat="1" ht="14.4">
      <c r="C40" s="19"/>
      <c r="D40" s="19"/>
      <c r="E40" s="19"/>
      <c r="F40" s="81"/>
      <c r="G40" s="46"/>
    </row>
    <row r="41" spans="1:8" ht="15" thickBot="1">
      <c r="A41" s="22" t="s">
        <v>47</v>
      </c>
      <c r="B41" s="23"/>
      <c r="C41" s="24" t="s">
        <v>9</v>
      </c>
      <c r="D41" s="24" t="s">
        <v>10</v>
      </c>
      <c r="E41" s="24" t="s">
        <v>11</v>
      </c>
      <c r="F41" s="25" t="s">
        <v>12</v>
      </c>
      <c r="G41" s="26" t="s">
        <v>13</v>
      </c>
    </row>
    <row r="42" spans="1:8" ht="14.4" hidden="1">
      <c r="B42" s="5" t="s">
        <v>48</v>
      </c>
      <c r="C42" s="82"/>
      <c r="D42" s="83"/>
      <c r="E42" s="83"/>
      <c r="F42" s="84">
        <f>PRODUCT(D42*E42)</f>
        <v>0</v>
      </c>
      <c r="G42" s="85">
        <f t="shared" si="0"/>
        <v>0</v>
      </c>
    </row>
    <row r="43" spans="1:8" ht="14.4">
      <c r="A43" s="27" t="s">
        <v>49</v>
      </c>
      <c r="B43" s="33" t="s">
        <v>50</v>
      </c>
      <c r="C43" s="51" t="s">
        <v>51</v>
      </c>
      <c r="D43" s="52">
        <v>20</v>
      </c>
      <c r="E43" s="86">
        <v>27000</v>
      </c>
      <c r="F43" s="87">
        <f>(E43/D43)*(C8/12)</f>
        <v>1687.5</v>
      </c>
      <c r="G43" s="88">
        <f t="shared" si="0"/>
        <v>5.1923076923076925</v>
      </c>
      <c r="H43" s="58"/>
    </row>
    <row r="44" spans="1:8" ht="14.4">
      <c r="B44" s="33" t="s">
        <v>52</v>
      </c>
      <c r="C44" s="51" t="s">
        <v>25</v>
      </c>
      <c r="D44" s="52">
        <v>1</v>
      </c>
      <c r="E44" s="86">
        <v>200</v>
      </c>
      <c r="F44" s="87">
        <f>PRODUCT(D44*E44)</f>
        <v>200</v>
      </c>
      <c r="G44" s="88">
        <f t="shared" si="0"/>
        <v>0.61538461538461542</v>
      </c>
    </row>
    <row r="45" spans="1:8" ht="14.4">
      <c r="A45" s="27" t="s">
        <v>53</v>
      </c>
      <c r="B45" s="33" t="s">
        <v>54</v>
      </c>
      <c r="C45" s="51"/>
      <c r="D45" s="89">
        <v>0.06</v>
      </c>
      <c r="E45" s="86">
        <v>27000</v>
      </c>
      <c r="F45" s="87">
        <f>((E45/2)*D45)*(C8/12)</f>
        <v>1012.5</v>
      </c>
      <c r="G45" s="88">
        <f>F45/$C$9</f>
        <v>3.1153846153846154</v>
      </c>
    </row>
    <row r="46" spans="1:8" ht="14.4">
      <c r="B46" s="33" t="s">
        <v>55</v>
      </c>
      <c r="C46" s="63">
        <f>0.55*C47</f>
        <v>0.6875</v>
      </c>
      <c r="D46" s="90">
        <f>SUM(F23:F34,F42:F44,F35)</f>
        <v>15716.94</v>
      </c>
      <c r="E46" s="91">
        <v>0.06</v>
      </c>
      <c r="F46" s="87">
        <f>E46*(D46*C46)</f>
        <v>648.32377499999996</v>
      </c>
      <c r="G46" s="88">
        <f t="shared" si="0"/>
        <v>1.9948423846153844</v>
      </c>
    </row>
    <row r="47" spans="1:8" ht="14.4">
      <c r="B47" s="33" t="s">
        <v>56</v>
      </c>
      <c r="C47" s="92">
        <f>C8/12</f>
        <v>1.25</v>
      </c>
      <c r="D47" s="90">
        <f>F20+F21+F22</f>
        <v>4684.4430000000002</v>
      </c>
      <c r="E47" s="91">
        <v>0.06</v>
      </c>
      <c r="F47" s="87">
        <f>E47*(D47*C47)</f>
        <v>351.33322499999997</v>
      </c>
      <c r="G47" s="88">
        <f>F47/$C$9</f>
        <v>1.0810253076923075</v>
      </c>
    </row>
    <row r="48" spans="1:8" s="44" customFormat="1" ht="15" thickBot="1">
      <c r="A48" s="22" t="s">
        <v>57</v>
      </c>
      <c r="B48" s="23"/>
      <c r="C48" s="69"/>
      <c r="D48" s="70"/>
      <c r="E48" s="93"/>
      <c r="F48" s="94">
        <f>SUM(F42:F47)</f>
        <v>3899.6569999999997</v>
      </c>
      <c r="G48" s="95">
        <f t="shared" si="0"/>
        <v>11.998944615384614</v>
      </c>
    </row>
    <row r="49" spans="1:7" s="17" customFormat="1" ht="14.4">
      <c r="A49" s="5"/>
      <c r="B49" s="5"/>
      <c r="C49" s="74"/>
      <c r="D49" s="74"/>
      <c r="E49" s="74"/>
      <c r="F49" s="75"/>
      <c r="G49" s="46"/>
    </row>
    <row r="50" spans="1:7" s="17" customFormat="1" ht="15" thickBot="1">
      <c r="A50" s="96" t="s">
        <v>58</v>
      </c>
      <c r="B50" s="23"/>
      <c r="C50" s="77"/>
      <c r="D50" s="77"/>
      <c r="E50" s="77"/>
      <c r="F50" s="79">
        <f>F38-F48</f>
        <v>-765.80200000000013</v>
      </c>
      <c r="G50" s="80">
        <f t="shared" si="0"/>
        <v>-2.3563138461538466</v>
      </c>
    </row>
    <row r="51" spans="1:7" ht="14.4">
      <c r="A51" s="17"/>
      <c r="B51" s="17"/>
      <c r="C51" s="19"/>
      <c r="D51" s="19"/>
      <c r="E51" s="19"/>
      <c r="F51" s="81"/>
      <c r="G51" s="46"/>
    </row>
    <row r="52" spans="1:7" ht="14.4">
      <c r="D52" s="5"/>
      <c r="E52" s="5"/>
      <c r="F52" s="5"/>
      <c r="G52" s="46"/>
    </row>
    <row r="53" spans="1:7" ht="15" thickBot="1">
      <c r="A53" s="22" t="s">
        <v>59</v>
      </c>
      <c r="B53" s="23"/>
      <c r="C53" s="24" t="s">
        <v>9</v>
      </c>
      <c r="D53" s="24" t="s">
        <v>10</v>
      </c>
      <c r="E53" s="24" t="s">
        <v>11</v>
      </c>
      <c r="F53" s="25" t="s">
        <v>12</v>
      </c>
      <c r="G53" s="26" t="s">
        <v>13</v>
      </c>
    </row>
    <row r="54" spans="1:7" ht="14.4">
      <c r="A54" s="27"/>
      <c r="B54" s="33" t="s">
        <v>60</v>
      </c>
      <c r="C54" s="51" t="s">
        <v>61</v>
      </c>
      <c r="D54" s="97">
        <v>0</v>
      </c>
      <c r="E54" s="98">
        <f>143.51*C5</f>
        <v>1621.663</v>
      </c>
      <c r="F54" s="99">
        <f>D54*E54</f>
        <v>0</v>
      </c>
      <c r="G54" s="99">
        <f>F54/$C$9</f>
        <v>0</v>
      </c>
    </row>
    <row r="55" spans="1:7" ht="14.4">
      <c r="A55" s="33"/>
      <c r="B55" s="33" t="s">
        <v>62</v>
      </c>
      <c r="C55" s="51" t="s">
        <v>61</v>
      </c>
      <c r="D55" s="52">
        <v>0</v>
      </c>
      <c r="E55" s="100">
        <v>0</v>
      </c>
      <c r="F55" s="99">
        <f>D55*E55</f>
        <v>0</v>
      </c>
      <c r="G55" s="99">
        <f>F55/$C$9</f>
        <v>0</v>
      </c>
    </row>
    <row r="56" spans="1:7" ht="14.4">
      <c r="A56" s="27"/>
      <c r="B56" s="101" t="s">
        <v>63</v>
      </c>
      <c r="C56" s="51" t="s">
        <v>61</v>
      </c>
      <c r="D56" s="52">
        <v>0</v>
      </c>
      <c r="E56" s="102">
        <v>1850</v>
      </c>
      <c r="F56" s="99">
        <f t="shared" ref="F56:F57" si="2">D56*E56</f>
        <v>0</v>
      </c>
      <c r="G56" s="99">
        <f t="shared" ref="G56:G57" si="3">F56/$C$9</f>
        <v>0</v>
      </c>
    </row>
    <row r="57" spans="1:7" ht="14.4">
      <c r="A57" s="27"/>
      <c r="B57" s="101" t="s">
        <v>64</v>
      </c>
      <c r="C57" s="51" t="s">
        <v>61</v>
      </c>
      <c r="D57" s="52">
        <v>0</v>
      </c>
      <c r="E57" s="102">
        <v>3950</v>
      </c>
      <c r="F57" s="99">
        <f t="shared" si="2"/>
        <v>0</v>
      </c>
      <c r="G57" s="99">
        <f t="shared" si="3"/>
        <v>0</v>
      </c>
    </row>
    <row r="58" spans="1:7" ht="15" thickBot="1">
      <c r="A58" s="96" t="s">
        <v>65</v>
      </c>
      <c r="B58" s="23"/>
      <c r="C58" s="77"/>
      <c r="D58" s="77"/>
      <c r="E58" s="77"/>
      <c r="F58" s="103">
        <f>SUM(F54:F57)</f>
        <v>0</v>
      </c>
      <c r="G58" s="103">
        <f>SUM(G54:G57)</f>
        <v>0</v>
      </c>
    </row>
    <row r="60" spans="1:7" ht="15" thickBot="1">
      <c r="A60" s="96" t="s">
        <v>66</v>
      </c>
      <c r="B60" s="23"/>
      <c r="C60" s="77"/>
      <c r="D60" s="77"/>
      <c r="E60" s="77"/>
      <c r="F60" s="79">
        <f>F50+F58</f>
        <v>-765.80200000000013</v>
      </c>
      <c r="G60" s="80">
        <f>F60/$C$9</f>
        <v>-2.3563138461538466</v>
      </c>
    </row>
    <row r="64" spans="1:7" ht="14.4">
      <c r="A64" s="105" t="s">
        <v>67</v>
      </c>
      <c r="B64" s="66"/>
      <c r="C64" s="106" t="s">
        <v>68</v>
      </c>
      <c r="D64" s="107" t="s">
        <v>69</v>
      </c>
    </row>
    <row r="65" spans="1:4" ht="14.4">
      <c r="A65" s="108" t="str">
        <f>A20</f>
        <v>Inköp djur</v>
      </c>
      <c r="C65" s="109">
        <f>SUM(F20:F22)</f>
        <v>4684.4430000000002</v>
      </c>
      <c r="D65" s="109">
        <f>SUM(G20:G22)</f>
        <v>14.41367076923077</v>
      </c>
    </row>
    <row r="66" spans="1:4" ht="14.4">
      <c r="A66" s="108" t="str">
        <f>A23</f>
        <v>Foder</v>
      </c>
      <c r="C66" s="109">
        <f>SUM(F23:F30)</f>
        <v>9229.44</v>
      </c>
      <c r="D66" s="109">
        <f>SUM(G23:G30)</f>
        <v>28.398276923076924</v>
      </c>
    </row>
    <row r="67" spans="1:4" ht="14.4">
      <c r="A67" s="108" t="str">
        <f>A31</f>
        <v>Foderberedning</v>
      </c>
      <c r="C67" s="109">
        <f>SUM(F31)</f>
        <v>1185.6000000000001</v>
      </c>
      <c r="D67" s="109">
        <f>SUM(G31)</f>
        <v>3.6480000000000006</v>
      </c>
    </row>
    <row r="68" spans="1:4" ht="14.4">
      <c r="A68" s="108" t="str">
        <f>A32</f>
        <v>Strö</v>
      </c>
      <c r="C68" s="109">
        <f>SUM(F32)</f>
        <v>2394</v>
      </c>
      <c r="D68" s="109">
        <f>SUM(G32)</f>
        <v>7.3661538461538463</v>
      </c>
    </row>
    <row r="69" spans="1:4" ht="14.4">
      <c r="A69" s="108" t="str">
        <f>A33</f>
        <v>Diverse</v>
      </c>
      <c r="C69" s="109">
        <f>SUM(F33:F34)</f>
        <v>268</v>
      </c>
      <c r="D69" s="109">
        <f>SUM(G33:G34)</f>
        <v>0.82461538461538464</v>
      </c>
    </row>
    <row r="70" spans="1:4" ht="14.4">
      <c r="A70" s="108" t="str">
        <f>A35</f>
        <v>Arbete</v>
      </c>
      <c r="C70" s="109">
        <f>SUM(F35)</f>
        <v>752.40000000000009</v>
      </c>
      <c r="D70" s="109">
        <f>SUM(G35)</f>
        <v>2.3150769230769233</v>
      </c>
    </row>
    <row r="71" spans="1:4" ht="14.4">
      <c r="A71" s="108" t="str">
        <f>A43</f>
        <v>Byggnader</v>
      </c>
      <c r="C71" s="109">
        <f>SUM(F43:F44)</f>
        <v>1887.5</v>
      </c>
      <c r="D71" s="109">
        <f>SUM(G43:G44)</f>
        <v>5.8076923076923084</v>
      </c>
    </row>
    <row r="72" spans="1:4" ht="14.4">
      <c r="A72" s="105" t="str">
        <f>A45</f>
        <v>Ränta</v>
      </c>
      <c r="B72" s="66"/>
      <c r="C72" s="110">
        <f>SUM(F45:F47)</f>
        <v>2012.1569999999997</v>
      </c>
      <c r="D72" s="110">
        <f>SUM(G45:G47)</f>
        <v>6.1912523076923076</v>
      </c>
    </row>
    <row r="73" spans="1:4" ht="14.4">
      <c r="A73" s="108"/>
      <c r="B73" s="111" t="s">
        <v>70</v>
      </c>
      <c r="C73" s="112">
        <f>SUM(C65:C72)</f>
        <v>22413.54</v>
      </c>
      <c r="D73" s="112">
        <f>SUM(D65:D72)</f>
        <v>68.96473846153846</v>
      </c>
    </row>
    <row r="75" spans="1:4">
      <c r="C75" s="113"/>
    </row>
    <row r="76" spans="1:4">
      <c r="D76" s="114"/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5" orientation="portrait" r:id="rId1"/>
  <headerFooter alignWithMargins="0">
    <oddHeader>&amp;L&amp;G&amp;R&amp;G</oddHeader>
    <oddFooter>&amp;C&amp;"-,Normal"Gård &amp; Djurhälsan – Växel: 0771-21 65 00 – www.gårdochdjurhälsan.se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9bf6b0-c037-4e8f-b370-165ec66c887d" xsi:nil="true"/>
    <_dlc_DocId xmlns="dc9bf6b0-c037-4e8f-b370-165ec66c887d">SQMHNX6NJ7S5-386207687-35616</_dlc_DocId>
    <_dlc_DocIdUrl xmlns="dc9bf6b0-c037-4e8f-b370-165ec66c887d">
      <Url>https://svdhv.sharepoint.com/Intranet/arbetsrum/A2/_layouts/15/DocIdRedir.aspx?ID=SQMHNX6NJ7S5-386207687-35616</Url>
      <Description>SQMHNX6NJ7S5-386207687-35616</Description>
    </_dlc_DocIdUrl>
    <lcf76f155ced4ddcb4097134ff3c332f xmlns="25e3b96d-f944-4d96-82e3-ff99979a0f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ADD545A45F9F43AED6EBA40EC1AE5C" ma:contentTypeVersion="10" ma:contentTypeDescription="Skapa ett nytt dokument." ma:contentTypeScope="" ma:versionID="b4f098ee8cccf9672f7cce11fa6e35ea">
  <xsd:schema xmlns:xsd="http://www.w3.org/2001/XMLSchema" xmlns:xs="http://www.w3.org/2001/XMLSchema" xmlns:p="http://schemas.microsoft.com/office/2006/metadata/properties" xmlns:ns2="25e3b96d-f944-4d96-82e3-ff99979a0fcb" xmlns:ns3="dc9bf6b0-c037-4e8f-b370-165ec66c887d" targetNamespace="http://schemas.microsoft.com/office/2006/metadata/properties" ma:root="true" ma:fieldsID="b6438070d241c37cd56936458a9ff0ca" ns2:_="" ns3:_="">
    <xsd:import namespace="25e3b96d-f944-4d96-82e3-ff99979a0fcb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b96d-f944-4d96-82e3-ff99979a0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AE5279-1F7F-40E7-AEC4-3A329A37E9A7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  <ds:schemaRef ds:uri="25e3b96d-f944-4d96-82e3-ff99979a0fcb"/>
  </ds:schemaRefs>
</ds:datastoreItem>
</file>

<file path=customXml/itemProps2.xml><?xml version="1.0" encoding="utf-8"?>
<ds:datastoreItem xmlns:ds="http://schemas.openxmlformats.org/officeDocument/2006/customXml" ds:itemID="{0FFD3732-AE67-41A9-8830-DF3713198E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CE1EFA-B835-4FA2-8314-F32C4FD26B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4F06A81-73B7-42D0-B934-FF29B3E4E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e3b96d-f944-4d96-82e3-ff99979a0fcb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Mjölkrastjur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2024-05-23T12:42:03Z</cp:lastPrinted>
  <dcterms:created xsi:type="dcterms:W3CDTF">2024-05-23T12:41:51Z</dcterms:created>
  <dcterms:modified xsi:type="dcterms:W3CDTF">2025-09-16T07:29:05Z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0x01010038ADD545A45F9F43AED6EBA40EC1AE5C</vt:lpwstr>
  </property>
  <property fmtid="{D5CDD505-2E9C-101B-9397-08002B2CF9AE}" pid="3" name="_dlc_DocIdItemGuid">
    <vt:lpwstr>d9b67059-c623-4234-8b29-6aa355b79229</vt:lpwstr>
  </property>
  <property fmtid="{D5CDD505-2E9C-101B-9397-08002B2CF9AE}" pid="4" name="MediaServiceImageTags">
    <vt:lpwstr/>
  </property>
</Properties>
</file>