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2/Delade dokument/Delade filer/Kalkyler Uppdatering/"/>
    </mc:Choice>
  </mc:AlternateContent>
  <xr:revisionPtr revIDLastSave="7" documentId="8_{D7172FA5-1B5D-4EF3-8FDD-5916DBBD3924}" xr6:coauthVersionLast="47" xr6:coauthVersionMax="47" xr10:uidLastSave="{62FF2069-0551-49BA-917C-485E11156183}"/>
  <bookViews>
    <workbookView xWindow="-120" yWindow="-120" windowWidth="29040" windowHeight="15840" xr2:uid="{11984E96-6A34-4360-8D86-503C33A4F949}"/>
  </bookViews>
  <sheets>
    <sheet name="Rekryteringskviga" sheetId="1" r:id="rId1"/>
  </sheets>
  <definedNames>
    <definedName name="stödområ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D12" i="1"/>
  <c r="E12" i="1"/>
  <c r="F12" i="1" s="1"/>
  <c r="E13" i="1"/>
  <c r="F13" i="1"/>
  <c r="F18" i="1"/>
  <c r="F19" i="1"/>
  <c r="D39" i="1" s="1"/>
  <c r="F39" i="1" s="1"/>
  <c r="F20" i="1"/>
  <c r="F21" i="1"/>
  <c r="F22" i="1"/>
  <c r="D23" i="1"/>
  <c r="F23" i="1"/>
  <c r="F24" i="1"/>
  <c r="F25" i="1"/>
  <c r="C61" i="1" s="1"/>
  <c r="D61" i="1" s="1"/>
  <c r="F26" i="1"/>
  <c r="C62" i="1" s="1"/>
  <c r="D62" i="1" s="1"/>
  <c r="F27" i="1"/>
  <c r="F28" i="1"/>
  <c r="D29" i="1"/>
  <c r="F29" i="1"/>
  <c r="F35" i="1"/>
  <c r="F36" i="1"/>
  <c r="F37" i="1"/>
  <c r="F38" i="1"/>
  <c r="C39" i="1"/>
  <c r="C40" i="1"/>
  <c r="E47" i="1"/>
  <c r="F47" i="1"/>
  <c r="F48" i="1"/>
  <c r="F51" i="1" s="1"/>
  <c r="F49" i="1"/>
  <c r="F50" i="1"/>
  <c r="A59" i="1"/>
  <c r="A60" i="1"/>
  <c r="A61" i="1"/>
  <c r="A62" i="1"/>
  <c r="A63" i="1"/>
  <c r="C63" i="1"/>
  <c r="D63" i="1" s="1"/>
  <c r="A64" i="1"/>
  <c r="C64" i="1"/>
  <c r="D64" i="1" s="1"/>
  <c r="A65" i="1"/>
  <c r="C65" i="1"/>
  <c r="D65" i="1" s="1"/>
  <c r="A66" i="1"/>
  <c r="F30" i="1" l="1"/>
  <c r="D40" i="1"/>
  <c r="F40" i="1" s="1"/>
  <c r="C66" i="1"/>
  <c r="D66" i="1" s="1"/>
  <c r="F41" i="1"/>
  <c r="F14" i="1"/>
  <c r="C60" i="1"/>
  <c r="D60" i="1" s="1"/>
  <c r="C59" i="1"/>
  <c r="C67" i="1" l="1"/>
  <c r="D59" i="1"/>
  <c r="D67" i="1" s="1"/>
  <c r="F53" i="1"/>
  <c r="F43" i="1"/>
  <c r="F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tc={2A3CC5CF-137A-43CD-8959-3702D2F27CB3}</author>
    <author>tc={266C2821-E19E-4F49-AFBD-D71A42498A2D}</author>
    <author>tc={78839121-C504-4E08-BEFB-F399CC09C13A}</author>
    <author>tc={842A6894-DBFD-42FA-9FD1-F551E1F1C6FB}</author>
    <author>tc={968EDC54-21FA-4805-9918-50B12949E441}</author>
    <author>tc={B3557D0D-BB58-4E0D-A326-448E6D04090E}</author>
  </authors>
  <commentList>
    <comment ref="E12" authorId="0" shapeId="0" xr:uid="{2A3CC5CF-137A-43CD-8959-3702D2F27CB3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Nötkreaturstödet är 90,55 euro per djurenhet för 2023. </t>
      </text>
    </comment>
    <comment ref="E13" authorId="1" shapeId="0" xr:uid="{266C2821-E19E-4F49-AFBD-D71A42498A2D}">
      <text>
        <t>[Trådad kommentar]
I din version av Excel kan du läsa den här trådade kommentaren, men eventuella ändringar i den tas bort om filen öppnas i en senare version av Excel. Läs mer: https://go.microsoft.com/fwlink/?linkid=870924
Kommentar:
    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>
      </text>
    </comment>
    <comment ref="E47" authorId="2" shapeId="0" xr:uid="{78839121-C504-4E08-BEFB-F399CC09C13A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48" authorId="3" shapeId="0" xr:uid="{842A6894-DBFD-42FA-9FD1-F551E1F1C6FB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49" authorId="4" shapeId="0" xr:uid="{968EDC54-21FA-4805-9918-50B12949E441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0" authorId="5" shapeId="0" xr:uid="{B3557D0D-BB58-4E0D-A326-448E6D04090E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<sst xmlns="http://schemas.openxmlformats.org/spreadsheetml/2006/main" count="89" uniqueCount="63">
  <si>
    <t>SUMMA</t>
  </si>
  <si>
    <t>Kr/dag</t>
  </si>
  <si>
    <t>Värde, kr</t>
  </si>
  <si>
    <t>Rekryteringskviga</t>
  </si>
  <si>
    <t>Täckningsbidrag 2 inkl. stöd</t>
  </si>
  <si>
    <t>Summa stöd</t>
  </si>
  <si>
    <t>hektar</t>
  </si>
  <si>
    <t>Miljöers. bete m särskilda värden</t>
  </si>
  <si>
    <t>Miljöers. bete m allmänna värden</t>
  </si>
  <si>
    <t>Kompensationsstöd</t>
  </si>
  <si>
    <t>Gårdsstöd</t>
  </si>
  <si>
    <t>Värde</t>
  </si>
  <si>
    <t>Pris</t>
  </si>
  <si>
    <t>Kvant.</t>
  </si>
  <si>
    <t>Enhet</t>
  </si>
  <si>
    <t>Gårdsstöd, kompensationsstöd &amp; miljöersättningar</t>
  </si>
  <si>
    <t>Täckningsbidrag 2</t>
  </si>
  <si>
    <t>Summa särkostnader 2</t>
  </si>
  <si>
    <t>Ränta djurkapital</t>
  </si>
  <si>
    <t>Ränta rörelsekapital</t>
  </si>
  <si>
    <t>Ränta byggnad</t>
  </si>
  <si>
    <t>Ränta</t>
  </si>
  <si>
    <t>st</t>
  </si>
  <si>
    <t>Underhåll byggnader</t>
  </si>
  <si>
    <t>år</t>
  </si>
  <si>
    <t>Avskrivning byggnad &amp; byggnadsinventarier</t>
  </si>
  <si>
    <t>Byggnader</t>
  </si>
  <si>
    <t>Certifieringskostnad</t>
  </si>
  <si>
    <t>Särkostnader 2</t>
  </si>
  <si>
    <t>Täckningsbidrag 1</t>
  </si>
  <si>
    <t>Summa särkostnader 1</t>
  </si>
  <si>
    <t>h</t>
  </si>
  <si>
    <t>Arbete</t>
  </si>
  <si>
    <t>Diverse</t>
  </si>
  <si>
    <t>Tjur, semin</t>
  </si>
  <si>
    <t>kg</t>
  </si>
  <si>
    <t>Strö</t>
  </si>
  <si>
    <t>Foderberedning</t>
  </si>
  <si>
    <t>Salt</t>
  </si>
  <si>
    <t xml:space="preserve">kg </t>
  </si>
  <si>
    <t>Mineraler</t>
  </si>
  <si>
    <t>Spannmål</t>
  </si>
  <si>
    <t>Foderhalm</t>
  </si>
  <si>
    <t>kg ts</t>
  </si>
  <si>
    <t>Bete</t>
  </si>
  <si>
    <t>Grovfoder</t>
  </si>
  <si>
    <t>Foder</t>
  </si>
  <si>
    <t>Kvigkalv</t>
  </si>
  <si>
    <t>Inköp djur</t>
  </si>
  <si>
    <t>Särkostnader 1:</t>
  </si>
  <si>
    <t>Summa intäkter</t>
  </si>
  <si>
    <t>Ersättning för ekologisk produktion</t>
  </si>
  <si>
    <t>djurenhet</t>
  </si>
  <si>
    <t>Nötkreaturstöd</t>
  </si>
  <si>
    <t>Stöd</t>
  </si>
  <si>
    <t>Kviga</t>
  </si>
  <si>
    <t>Intäkter:</t>
  </si>
  <si>
    <t>Vikt</t>
  </si>
  <si>
    <t>Uppfödningstid</t>
  </si>
  <si>
    <t>Inkalvningsålder</t>
  </si>
  <si>
    <t>Stödområde</t>
  </si>
  <si>
    <t>Euro</t>
  </si>
  <si>
    <t>PRODUKTIONSGRENSKALKYL - Rekryteringskviga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</si>
</sst>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"/>
    <numFmt numFmtId="166" formatCode="#,##0.0"/>
  </numFmts>
  <fonts count="7" x14ac:knownFonts="1">
    <font>
      <sz val="10"/>
      <name val="Arial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8678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D5F7AA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2" fillId="0" borderId="0" xfId="1" applyNumberFormat="1" applyFont="1" applyBorder="1" applyAlignment="1" applyProtection="1">
      <alignment horizontal="right"/>
    </xf>
    <xf numFmtId="4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44" fontId="2" fillId="0" borderId="0" xfId="0" applyNumberFormat="1" applyFont="1"/>
    <xf numFmtId="0" fontId="3" fillId="0" borderId="0" xfId="0" applyFont="1" applyProtection="1">
      <protection locked="0"/>
    </xf>
    <xf numFmtId="0" fontId="3" fillId="0" borderId="1" xfId="0" applyFont="1" applyBorder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164" fontId="3" fillId="2" borderId="2" xfId="1" applyNumberFormat="1" applyFont="1" applyFill="1" applyBorder="1" applyAlignment="1" applyProtection="1">
      <alignment horizontal="right"/>
    </xf>
    <xf numFmtId="0" fontId="3" fillId="0" borderId="3" xfId="0" applyFont="1" applyBorder="1"/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164" fontId="3" fillId="3" borderId="5" xfId="1" applyNumberFormat="1" applyFont="1" applyFill="1" applyBorder="1" applyAlignment="1" applyProtection="1">
      <alignment horizontal="right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" xfId="0" applyFont="1" applyBorder="1"/>
    <xf numFmtId="164" fontId="2" fillId="4" borderId="7" xfId="1" applyNumberFormat="1" applyFont="1" applyFill="1" applyBorder="1" applyAlignment="1" applyProtection="1">
      <alignment horizontal="right"/>
    </xf>
    <xf numFmtId="3" fontId="2" fillId="0" borderId="8" xfId="1" applyNumberFormat="1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4" borderId="0" xfId="1" applyNumberFormat="1" applyFont="1" applyFill="1" applyBorder="1" applyAlignment="1" applyProtection="1">
      <alignment horizontal="right"/>
    </xf>
    <xf numFmtId="0" fontId="2" fillId="0" borderId="7" xfId="0" applyFont="1" applyBorder="1" applyAlignment="1">
      <alignment horizontal="center"/>
    </xf>
    <xf numFmtId="3" fontId="2" fillId="5" borderId="8" xfId="1" applyNumberFormat="1" applyFont="1" applyFill="1" applyBorder="1" applyAlignment="1" applyProtection="1">
      <alignment horizontal="center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164" fontId="3" fillId="5" borderId="10" xfId="1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 applyAlignment="1">
      <alignment horizontal="right"/>
    </xf>
    <xf numFmtId="164" fontId="2" fillId="6" borderId="11" xfId="1" applyNumberFormat="1" applyFont="1" applyFill="1" applyBorder="1" applyAlignment="1" applyProtection="1">
      <alignment horizontal="right"/>
    </xf>
    <xf numFmtId="164" fontId="2" fillId="7" borderId="0" xfId="1" applyNumberFormat="1" applyFont="1" applyFill="1" applyBorder="1" applyAlignment="1" applyProtection="1">
      <alignment horizontal="right"/>
    </xf>
    <xf numFmtId="9" fontId="2" fillId="0" borderId="9" xfId="2" applyFont="1" applyFill="1" applyBorder="1" applyAlignment="1" applyProtection="1">
      <alignment horizontal="center"/>
      <protection locked="0"/>
    </xf>
    <xf numFmtId="165" fontId="2" fillId="0" borderId="9" xfId="0" applyNumberFormat="1" applyFont="1" applyBorder="1" applyAlignment="1">
      <alignment horizontal="center"/>
    </xf>
    <xf numFmtId="9" fontId="2" fillId="0" borderId="8" xfId="2" applyFont="1" applyFill="1" applyBorder="1" applyAlignment="1" applyProtection="1">
      <alignment horizontal="center"/>
      <protection locked="0"/>
    </xf>
    <xf numFmtId="165" fontId="2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 applyProtection="1">
      <alignment horizontal="center"/>
      <protection locked="0"/>
    </xf>
    <xf numFmtId="9" fontId="2" fillId="0" borderId="8" xfId="0" applyNumberFormat="1" applyFont="1" applyBorder="1" applyAlignment="1" applyProtection="1">
      <alignment horizontal="center"/>
      <protection locked="0"/>
    </xf>
    <xf numFmtId="166" fontId="2" fillId="0" borderId="8" xfId="0" applyNumberFormat="1" applyFont="1" applyBorder="1" applyAlignment="1" applyProtection="1">
      <alignment horizontal="center"/>
      <protection locked="0"/>
    </xf>
    <xf numFmtId="4" fontId="2" fillId="0" borderId="8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4" fontId="3" fillId="5" borderId="5" xfId="1" applyNumberFormat="1" applyFont="1" applyFill="1" applyBorder="1" applyAlignment="1" applyProtection="1">
      <alignment horizontal="right"/>
    </xf>
    <xf numFmtId="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8" borderId="11" xfId="1" applyNumberFormat="1" applyFont="1" applyFill="1" applyBorder="1" applyAlignment="1" applyProtection="1">
      <alignment horizontal="right"/>
    </xf>
    <xf numFmtId="4" fontId="3" fillId="0" borderId="6" xfId="0" applyNumberFormat="1" applyFont="1" applyBorder="1" applyAlignment="1">
      <alignment horizontal="center"/>
    </xf>
    <xf numFmtId="164" fontId="2" fillId="9" borderId="0" xfId="1" applyNumberFormat="1" applyFont="1" applyFill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center"/>
      <protection locked="0"/>
    </xf>
    <xf numFmtId="165" fontId="2" fillId="0" borderId="9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2" fillId="0" borderId="12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4" fontId="2" fillId="0" borderId="12" xfId="0" applyNumberFormat="1" applyFont="1" applyBorder="1" applyAlignment="1" applyProtection="1">
      <alignment horizontal="center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4" fontId="3" fillId="0" borderId="0" xfId="0" applyNumberFormat="1" applyFont="1" applyAlignment="1">
      <alignment horizontal="center"/>
    </xf>
    <xf numFmtId="164" fontId="3" fillId="10" borderId="11" xfId="1" applyNumberFormat="1" applyFont="1" applyFill="1" applyBorder="1" applyAlignment="1" applyProtection="1">
      <alignment horizontal="right"/>
    </xf>
    <xf numFmtId="164" fontId="2" fillId="11" borderId="0" xfId="1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3" xfId="0" applyFont="1" applyBorder="1"/>
    <xf numFmtId="0" fontId="2" fillId="0" borderId="13" xfId="0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left"/>
    </xf>
    <xf numFmtId="0" fontId="5" fillId="0" borderId="0" xfId="0" applyFont="1"/>
    <xf numFmtId="2" fontId="2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0"/>
            </a:pPr>
            <a:r>
              <a:rPr lang="en-US" sz="1400" b="0"/>
              <a:t>Rekryteringskviga - andel av kostnad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B-4879-8761-CF70B6E83026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B-4879-8761-CF70B6E83026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</c:spPr>
            <c:extLst>
              <c:ext xmlns:c16="http://schemas.microsoft.com/office/drawing/2014/chart" uri="{C3380CC4-5D6E-409C-BE32-E72D297353CC}">
                <c16:uniqueId val="{00000005-26FB-4879-8761-CF70B6E83026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B-4879-8761-CF70B6E83026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FB-4879-8761-CF70B6E83026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FB-4879-8761-CF70B6E83026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6FB-4879-8761-CF70B6E83026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6FB-4879-8761-CF70B6E8302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Rekryteringskviga!$A$59:$A$66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Rekryteringskviga!$C$59:$C$66</c:f>
              <c:numCache>
                <c:formatCode>_-* #\ ##0\ "kr"_-;\-* #\ ##0\ "kr"_-;_-* "-"??\ "kr"_-;_-@_-</c:formatCode>
                <c:ptCount val="8"/>
                <c:pt idx="0">
                  <c:v>11000</c:v>
                </c:pt>
                <c:pt idx="1">
                  <c:v>5457.16</c:v>
                </c:pt>
                <c:pt idx="2">
                  <c:v>1638</c:v>
                </c:pt>
                <c:pt idx="3">
                  <c:v>1440</c:v>
                </c:pt>
                <c:pt idx="4">
                  <c:v>710</c:v>
                </c:pt>
                <c:pt idx="5">
                  <c:v>2584</c:v>
                </c:pt>
                <c:pt idx="6">
                  <c:v>1533.3333333333333</c:v>
                </c:pt>
                <c:pt idx="7">
                  <c:v>1747.8026916666668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6FB-4879-8761-CF70B6E8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Rekryteringskviga - kostnad</a:t>
            </a:r>
            <a:r>
              <a:rPr lang="sv-SE" baseline="0"/>
              <a:t> dag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F3-47BB-BC25-F364D8AC68E2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F3-47BB-BC25-F364D8AC68E2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F3-47BB-BC25-F364D8AC68E2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F3-47BB-BC25-F364D8AC68E2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F3-47BB-BC25-F364D8AC68E2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F3-47BB-BC25-F364D8AC68E2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F3-47BB-BC25-F364D8AC68E2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4F3-47BB-BC25-F364D8AC68E2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Rekryteringskviga!$A$59:$A$66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Rekryteringskviga!$D$59:$D$66</c:f>
              <c:numCache>
                <c:formatCode>_("kr"* #,##0.00_);_("kr"* \(#,##0.00\);_("kr"* "-"??_);_(@_)</c:formatCode>
                <c:ptCount val="8"/>
                <c:pt idx="0">
                  <c:v>21.284829721362232</c:v>
                </c:pt>
                <c:pt idx="1">
                  <c:v>10.559520123839009</c:v>
                </c:pt>
                <c:pt idx="2">
                  <c:v>3.1695046439628487</c:v>
                </c:pt>
                <c:pt idx="3">
                  <c:v>2.7863777089783284</c:v>
                </c:pt>
                <c:pt idx="4">
                  <c:v>1.3738390092879258</c:v>
                </c:pt>
                <c:pt idx="5">
                  <c:v>5</c:v>
                </c:pt>
                <c:pt idx="6">
                  <c:v>2.9669762641898867</c:v>
                </c:pt>
                <c:pt idx="7">
                  <c:v>3.3819711526057796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F3-47BB-BC25-F364D8AC6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2097376"/>
        <c:axId val="392101216"/>
      </c:barChart>
      <c:catAx>
        <c:axId val="39209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101216"/>
        <c:crosses val="autoZero"/>
        <c:auto val="1"/>
        <c:lblAlgn val="ctr"/>
        <c:lblOffset val="100"/>
        <c:noMultiLvlLbl val="0"/>
      </c:catAx>
      <c:valAx>
        <c:axId val="39210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09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68</xdr:row>
      <xdr:rowOff>152400</xdr:rowOff>
    </xdr:from>
    <xdr:to>
      <xdr:col>5</xdr:col>
      <xdr:colOff>714375</xdr:colOff>
      <xdr:row>85</xdr:row>
      <xdr:rowOff>24245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F9B3CB-984A-4C2C-8388-00A951843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87</xdr:row>
      <xdr:rowOff>0</xdr:rowOff>
    </xdr:from>
    <xdr:to>
      <xdr:col>5</xdr:col>
      <xdr:colOff>708660</xdr:colOff>
      <xdr:row>105</xdr:row>
      <xdr:rowOff>160020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A4088B7-CEA2-4963-B31A-ACF2E521B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50F7F8BC-8607-49EB-B6CB-FBDBF0E1E0D6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2" dT="2023-12-11T10:25:07.71" personId="{50F7F8BC-8607-49EB-B6CB-FBDBF0E1E0D6}" id="{2A3CC5CF-137A-43CD-8959-3702D2F27CB3}">
    <text xml:space="preserve">Nötkreaturstödet är 90,55 euro per djurenhet för 2023. </text>
  </threadedComment>
  <threadedComment ref="E13" dT="2023-12-11T10:30:16.70" personId="{50F7F8BC-8607-49EB-B6CB-FBDBF0E1E0D6}" id="{266C2821-E19E-4F49-AFBD-D71A42498A2D}">
    <text>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ext>
    <extLst>
      <x:ext xmlns:xltc2="http://schemas.microsoft.com/office/spreadsheetml/2020/threadedcomments2" uri="{F7C98A9C-CBB3-438F-8F68-D28B6AF4A901}">
        <xltc2:checksum>1028443805</xltc2:checksum>
        <xltc2:hyperlink startIndex="178" length="98" url="https://jordbruksverket.se/stod/jordbruk-tradgard-och-rennaring/jordbruksmark/ekologisk-produktion"/>
      </x:ext>
    </extLst>
  </threadedComment>
  <threadedComment ref="E47" dT="2023-12-11T09:58:32.31" personId="{50F7F8BC-8607-49EB-B6CB-FBDBF0E1E0D6}" id="{78839121-C504-4E08-BEFB-F399CC09C13A}">
    <text xml:space="preserve">Gårdsstödet är 143,51 euro per hektar för 2023. </text>
  </threadedComment>
  <threadedComment ref="E48" dT="2023-12-11T09:58:50.97" personId="{50F7F8BC-8607-49EB-B6CB-FBDBF0E1E0D6}" id="{842A6894-DBFD-42FA-9FD1-F551E1F1C6FB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49" dT="2023-12-11T09:59:18.65" personId="{50F7F8BC-8607-49EB-B6CB-FBDBF0E1E0D6}" id="{968EDC54-21FA-4805-9918-50B12949E441}">
    <text>Ersättningen är 1 850 kr/ha för 2023</text>
  </threadedComment>
  <threadedComment ref="E50" dT="2023-12-11T09:59:44.74" personId="{50F7F8BC-8607-49EB-B6CB-FBDBF0E1E0D6}" id="{B3557D0D-BB58-4E0D-A326-448E6D04090E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CCDB-5828-4C1F-BA9C-3211E1185586}">
  <sheetPr>
    <tabColor rgb="FF5BC2E7"/>
  </sheetPr>
  <dimension ref="A2:G68"/>
  <sheetViews>
    <sheetView showGridLines="0" tabSelected="1" zoomScaleNormal="100" workbookViewId="0">
      <selection activeCell="E25" sqref="E25"/>
    </sheetView>
  </sheetViews>
  <sheetFormatPr defaultColWidth="9.140625" defaultRowHeight="15.75" x14ac:dyDescent="0.25"/>
  <cols>
    <col min="1" max="1" width="11.7109375" style="1" customWidth="1"/>
    <col min="2" max="2" width="36.28515625" style="1" bestFit="1" customWidth="1"/>
    <col min="3" max="3" width="9.85546875" style="3" bestFit="1" customWidth="1"/>
    <col min="4" max="4" width="9.7109375" style="3" bestFit="1" customWidth="1"/>
    <col min="5" max="5" width="10.42578125" style="3" customWidth="1"/>
    <col min="6" max="6" width="12.28515625" style="2" customWidth="1"/>
    <col min="7" max="7" width="12.5703125" style="1" bestFit="1" customWidth="1"/>
    <col min="8" max="8" width="8.42578125" style="1" customWidth="1"/>
    <col min="9" max="16384" width="9.140625" style="1"/>
  </cols>
  <sheetData>
    <row r="2" spans="1:7" x14ac:dyDescent="0.25">
      <c r="A2" s="86" t="s">
        <v>62</v>
      </c>
      <c r="B2" s="87"/>
      <c r="C2" s="87"/>
      <c r="D2" s="87"/>
      <c r="E2" s="87"/>
      <c r="F2" s="87"/>
    </row>
    <row r="3" spans="1:7" x14ac:dyDescent="0.25">
      <c r="A3" s="85"/>
      <c r="D3" s="1"/>
      <c r="E3" s="84"/>
      <c r="F3" s="84"/>
    </row>
    <row r="4" spans="1:7" s="82" customFormat="1" ht="15" x14ac:dyDescent="0.25">
      <c r="B4" s="81" t="s">
        <v>61</v>
      </c>
      <c r="C4" s="83">
        <v>11.532500000000001</v>
      </c>
      <c r="E4" s="7"/>
      <c r="F4" s="8"/>
    </row>
    <row r="5" spans="1:7" s="8" customFormat="1" ht="15" hidden="1" customHeight="1" x14ac:dyDescent="0.25">
      <c r="A5" s="9"/>
      <c r="B5" s="81" t="s">
        <v>60</v>
      </c>
      <c r="C5" s="80">
        <v>0</v>
      </c>
      <c r="E5" s="7"/>
    </row>
    <row r="6" spans="1:7" s="8" customFormat="1" ht="15" x14ac:dyDescent="0.25">
      <c r="B6" s="81" t="s">
        <v>59</v>
      </c>
      <c r="C6" s="80">
        <v>24</v>
      </c>
      <c r="E6" s="7"/>
    </row>
    <row r="7" spans="1:7" s="8" customFormat="1" ht="15" x14ac:dyDescent="0.25">
      <c r="B7" s="81" t="s">
        <v>58</v>
      </c>
      <c r="C7" s="80">
        <v>17</v>
      </c>
      <c r="E7" s="7"/>
    </row>
    <row r="8" spans="1:7" s="8" customFormat="1" ht="15" x14ac:dyDescent="0.25">
      <c r="B8" s="79" t="s">
        <v>57</v>
      </c>
      <c r="C8" s="78">
        <v>600</v>
      </c>
      <c r="D8" s="7"/>
      <c r="E8" s="7"/>
      <c r="F8" s="4"/>
    </row>
    <row r="9" spans="1:7" s="8" customFormat="1" ht="15" x14ac:dyDescent="0.25">
      <c r="B9" s="9"/>
      <c r="C9" s="7"/>
      <c r="D9" s="7"/>
      <c r="E9" s="7"/>
      <c r="F9" s="4"/>
    </row>
    <row r="10" spans="1:7" s="8" customFormat="1" thickBot="1" x14ac:dyDescent="0.3">
      <c r="A10" s="32" t="s">
        <v>56</v>
      </c>
      <c r="B10" s="43"/>
      <c r="C10" s="42" t="s">
        <v>14</v>
      </c>
      <c r="D10" s="42" t="s">
        <v>13</v>
      </c>
      <c r="E10" s="42" t="s">
        <v>12</v>
      </c>
      <c r="F10" s="41" t="s">
        <v>11</v>
      </c>
    </row>
    <row r="11" spans="1:7" s="8" customFormat="1" ht="15" x14ac:dyDescent="0.25">
      <c r="B11" s="8" t="s">
        <v>55</v>
      </c>
      <c r="C11" s="37" t="s">
        <v>35</v>
      </c>
      <c r="D11" s="35">
        <v>1</v>
      </c>
      <c r="E11" s="54">
        <v>20799</v>
      </c>
      <c r="F11" s="76">
        <f>PRODUCT(D11*E11)</f>
        <v>20799</v>
      </c>
      <c r="G11" s="18"/>
    </row>
    <row r="12" spans="1:7" s="8" customFormat="1" ht="15" x14ac:dyDescent="0.25">
      <c r="A12" s="9" t="s">
        <v>54</v>
      </c>
      <c r="B12" s="8" t="s">
        <v>53</v>
      </c>
      <c r="C12" s="37" t="s">
        <v>52</v>
      </c>
      <c r="D12" s="77">
        <f>1</f>
        <v>1</v>
      </c>
      <c r="E12" s="40">
        <f>90.55*C4</f>
        <v>1044.267875</v>
      </c>
      <c r="F12" s="76">
        <f>D12*E12</f>
        <v>1044.267875</v>
      </c>
    </row>
    <row r="13" spans="1:7" s="8" customFormat="1" ht="15" x14ac:dyDescent="0.25">
      <c r="B13" s="8" t="s">
        <v>51</v>
      </c>
      <c r="C13" s="37" t="s">
        <v>6</v>
      </c>
      <c r="D13" s="77">
        <v>0</v>
      </c>
      <c r="E13" s="54">
        <f>177*C4</f>
        <v>2041.2525000000001</v>
      </c>
      <c r="F13" s="76">
        <f>D13*E13</f>
        <v>0</v>
      </c>
    </row>
    <row r="14" spans="1:7" s="9" customFormat="1" thickBot="1" x14ac:dyDescent="0.3">
      <c r="A14" s="32" t="s">
        <v>50</v>
      </c>
      <c r="B14" s="32"/>
      <c r="C14" s="30"/>
      <c r="D14" s="30"/>
      <c r="E14" s="65"/>
      <c r="F14" s="75">
        <f>SUM(F11:F13)</f>
        <v>21843.267875000001</v>
      </c>
    </row>
    <row r="15" spans="1:7" s="9" customFormat="1" ht="15" x14ac:dyDescent="0.25">
      <c r="C15" s="22"/>
      <c r="D15" s="22"/>
      <c r="E15" s="74"/>
      <c r="F15" s="21"/>
    </row>
    <row r="16" spans="1:7" s="8" customFormat="1" ht="15" x14ac:dyDescent="0.25">
      <c r="B16" s="7"/>
      <c r="C16" s="7"/>
      <c r="D16" s="7"/>
      <c r="E16" s="59"/>
      <c r="F16" s="10"/>
    </row>
    <row r="17" spans="1:6" s="8" customFormat="1" thickBot="1" x14ac:dyDescent="0.3">
      <c r="A17" s="32" t="s">
        <v>49</v>
      </c>
      <c r="B17" s="43"/>
      <c r="C17" s="42" t="s">
        <v>14</v>
      </c>
      <c r="D17" s="42" t="s">
        <v>13</v>
      </c>
      <c r="E17" s="58" t="s">
        <v>12</v>
      </c>
      <c r="F17" s="41" t="s">
        <v>11</v>
      </c>
    </row>
    <row r="18" spans="1:6" s="8" customFormat="1" ht="15" x14ac:dyDescent="0.25">
      <c r="A18" s="9" t="s">
        <v>48</v>
      </c>
      <c r="B18" s="8" t="s">
        <v>47</v>
      </c>
      <c r="C18" s="37" t="s">
        <v>35</v>
      </c>
      <c r="D18" s="35">
        <v>275</v>
      </c>
      <c r="E18" s="57">
        <v>40</v>
      </c>
      <c r="F18" s="66">
        <f t="shared" ref="F18:F28" si="0">PRODUCT(D18*E18)</f>
        <v>11000</v>
      </c>
    </row>
    <row r="19" spans="1:6" s="8" customFormat="1" ht="15" x14ac:dyDescent="0.25">
      <c r="A19" s="9" t="s">
        <v>46</v>
      </c>
      <c r="B19" s="69" t="s">
        <v>45</v>
      </c>
      <c r="C19" s="37" t="s">
        <v>43</v>
      </c>
      <c r="D19" s="54">
        <v>2500</v>
      </c>
      <c r="E19" s="57">
        <v>1.8</v>
      </c>
      <c r="F19" s="66">
        <f t="shared" si="0"/>
        <v>4500</v>
      </c>
    </row>
    <row r="20" spans="1:6" s="8" customFormat="1" ht="15" x14ac:dyDescent="0.25">
      <c r="A20" s="9"/>
      <c r="B20" s="69" t="s">
        <v>44</v>
      </c>
      <c r="C20" s="37" t="s">
        <v>43</v>
      </c>
      <c r="D20" s="54">
        <v>1100</v>
      </c>
      <c r="E20" s="57">
        <v>0.6</v>
      </c>
      <c r="F20" s="66">
        <f t="shared" si="0"/>
        <v>660</v>
      </c>
    </row>
    <row r="21" spans="1:6" s="8" customFormat="1" ht="15" x14ac:dyDescent="0.25">
      <c r="A21" s="9"/>
      <c r="B21" s="69" t="s">
        <v>42</v>
      </c>
      <c r="C21" s="37"/>
      <c r="D21" s="35"/>
      <c r="E21" s="57"/>
      <c r="F21" s="66">
        <f t="shared" si="0"/>
        <v>0</v>
      </c>
    </row>
    <row r="22" spans="1:6" s="8" customFormat="1" ht="15" x14ac:dyDescent="0.25">
      <c r="A22" s="9"/>
      <c r="B22" s="69" t="s">
        <v>41</v>
      </c>
      <c r="C22" s="37" t="s">
        <v>39</v>
      </c>
      <c r="D22" s="35"/>
      <c r="E22" s="57"/>
      <c r="F22" s="66">
        <f t="shared" si="0"/>
        <v>0</v>
      </c>
    </row>
    <row r="23" spans="1:6" s="8" customFormat="1" ht="15" x14ac:dyDescent="0.25">
      <c r="A23" s="9"/>
      <c r="B23" s="69" t="s">
        <v>40</v>
      </c>
      <c r="C23" s="37" t="s">
        <v>39</v>
      </c>
      <c r="D23" s="73">
        <f>(C7*30.4)*0.05</f>
        <v>25.84</v>
      </c>
      <c r="E23" s="72">
        <v>11.5</v>
      </c>
      <c r="F23" s="66">
        <f t="shared" si="0"/>
        <v>297.16000000000003</v>
      </c>
    </row>
    <row r="24" spans="1:6" s="8" customFormat="1" ht="15" x14ac:dyDescent="0.25">
      <c r="A24" s="9"/>
      <c r="B24" s="69" t="s">
        <v>38</v>
      </c>
      <c r="C24" s="37" t="s">
        <v>35</v>
      </c>
      <c r="D24" s="73"/>
      <c r="E24" s="72"/>
      <c r="F24" s="66">
        <f t="shared" si="0"/>
        <v>0</v>
      </c>
    </row>
    <row r="25" spans="1:6" s="8" customFormat="1" ht="15" x14ac:dyDescent="0.25">
      <c r="A25" s="9" t="s">
        <v>37</v>
      </c>
      <c r="B25" s="69"/>
      <c r="C25" s="37" t="s">
        <v>31</v>
      </c>
      <c r="D25" s="71">
        <v>1.26</v>
      </c>
      <c r="E25" s="70">
        <v>1300</v>
      </c>
      <c r="F25" s="66">
        <f t="shared" si="0"/>
        <v>1638</v>
      </c>
    </row>
    <row r="26" spans="1:6" s="8" customFormat="1" ht="15" x14ac:dyDescent="0.25">
      <c r="A26" s="9" t="s">
        <v>36</v>
      </c>
      <c r="B26" s="69" t="s">
        <v>36</v>
      </c>
      <c r="C26" s="37" t="s">
        <v>35</v>
      </c>
      <c r="D26" s="54">
        <v>1200</v>
      </c>
      <c r="E26" s="57">
        <v>1.2</v>
      </c>
      <c r="F26" s="66">
        <f t="shared" si="0"/>
        <v>1440</v>
      </c>
    </row>
    <row r="27" spans="1:6" s="8" customFormat="1" ht="15" x14ac:dyDescent="0.25">
      <c r="A27" s="9" t="s">
        <v>33</v>
      </c>
      <c r="B27" s="69" t="s">
        <v>34</v>
      </c>
      <c r="C27" s="37" t="s">
        <v>22</v>
      </c>
      <c r="D27" s="35">
        <v>1</v>
      </c>
      <c r="E27" s="54">
        <v>250</v>
      </c>
      <c r="F27" s="66">
        <f t="shared" si="0"/>
        <v>250</v>
      </c>
    </row>
    <row r="28" spans="1:6" s="8" customFormat="1" ht="15" x14ac:dyDescent="0.25">
      <c r="A28" s="9"/>
      <c r="B28" s="69" t="s">
        <v>33</v>
      </c>
      <c r="C28" s="37" t="s">
        <v>22</v>
      </c>
      <c r="D28" s="35">
        <v>1</v>
      </c>
      <c r="E28" s="54">
        <v>460</v>
      </c>
      <c r="F28" s="66">
        <f t="shared" si="0"/>
        <v>460</v>
      </c>
    </row>
    <row r="29" spans="1:6" s="8" customFormat="1" ht="15" x14ac:dyDescent="0.25">
      <c r="A29" s="9" t="s">
        <v>32</v>
      </c>
      <c r="C29" s="36" t="s">
        <v>31</v>
      </c>
      <c r="D29" s="68">
        <f>(C7*30.4)*(1/60)</f>
        <v>8.6133333333333333</v>
      </c>
      <c r="E29" s="67">
        <v>300</v>
      </c>
      <c r="F29" s="66">
        <f>D29*E29</f>
        <v>2584</v>
      </c>
    </row>
    <row r="30" spans="1:6" s="9" customFormat="1" thickBot="1" x14ac:dyDescent="0.3">
      <c r="A30" s="32" t="s">
        <v>30</v>
      </c>
      <c r="B30" s="32"/>
      <c r="C30" s="30"/>
      <c r="D30" s="30"/>
      <c r="E30" s="65"/>
      <c r="F30" s="64">
        <f>SUM(F18:F29)</f>
        <v>22829.16</v>
      </c>
    </row>
    <row r="31" spans="1:6" s="8" customFormat="1" ht="15" x14ac:dyDescent="0.25">
      <c r="C31" s="7"/>
      <c r="D31" s="7"/>
      <c r="E31" s="59"/>
      <c r="F31" s="63"/>
    </row>
    <row r="32" spans="1:6" s="8" customFormat="1" thickBot="1" x14ac:dyDescent="0.3">
      <c r="A32" s="32" t="s">
        <v>29</v>
      </c>
      <c r="B32" s="43"/>
      <c r="C32" s="62"/>
      <c r="D32" s="62"/>
      <c r="E32" s="61"/>
      <c r="F32" s="60">
        <f>F14-F30</f>
        <v>-985.89212499999849</v>
      </c>
    </row>
    <row r="33" spans="1:6" s="8" customFormat="1" ht="15" x14ac:dyDescent="0.25">
      <c r="A33" s="9"/>
      <c r="C33" s="7"/>
      <c r="D33" s="7"/>
      <c r="E33" s="59"/>
      <c r="F33" s="21"/>
    </row>
    <row r="34" spans="1:6" s="8" customFormat="1" thickBot="1" x14ac:dyDescent="0.3">
      <c r="A34" s="32" t="s">
        <v>28</v>
      </c>
      <c r="B34" s="43"/>
      <c r="C34" s="42" t="s">
        <v>14</v>
      </c>
      <c r="D34" s="42" t="s">
        <v>13</v>
      </c>
      <c r="E34" s="58" t="s">
        <v>12</v>
      </c>
      <c r="F34" s="41" t="s">
        <v>11</v>
      </c>
    </row>
    <row r="35" spans="1:6" s="8" customFormat="1" ht="15" hidden="1" x14ac:dyDescent="0.25">
      <c r="B35" s="8" t="s">
        <v>27</v>
      </c>
      <c r="C35" s="37"/>
      <c r="D35" s="35">
        <v>1</v>
      </c>
      <c r="E35" s="57">
        <v>0</v>
      </c>
      <c r="F35" s="10">
        <f>PRODUCT(D35*E35)</f>
        <v>0</v>
      </c>
    </row>
    <row r="36" spans="1:6" s="8" customFormat="1" ht="15" x14ac:dyDescent="0.25">
      <c r="A36" s="9" t="s">
        <v>26</v>
      </c>
      <c r="B36" s="8" t="s">
        <v>25</v>
      </c>
      <c r="C36" s="37" t="s">
        <v>24</v>
      </c>
      <c r="D36" s="35">
        <v>15</v>
      </c>
      <c r="E36" s="54">
        <v>20000</v>
      </c>
      <c r="F36" s="49">
        <f>E36/D36</f>
        <v>1333.3333333333333</v>
      </c>
    </row>
    <row r="37" spans="1:6" s="8" customFormat="1" ht="15" x14ac:dyDescent="0.25">
      <c r="A37" s="9"/>
      <c r="B37" s="8" t="s">
        <v>23</v>
      </c>
      <c r="C37" s="37" t="s">
        <v>22</v>
      </c>
      <c r="D37" s="35">
        <v>1</v>
      </c>
      <c r="E37" s="56">
        <v>200</v>
      </c>
      <c r="F37" s="49">
        <f>PRODUCT(D37*E37)</f>
        <v>200</v>
      </c>
    </row>
    <row r="38" spans="1:6" s="8" customFormat="1" ht="15" x14ac:dyDescent="0.25">
      <c r="A38" s="9" t="s">
        <v>21</v>
      </c>
      <c r="B38" s="8" t="s">
        <v>20</v>
      </c>
      <c r="C38" s="37"/>
      <c r="D38" s="55">
        <v>0.05</v>
      </c>
      <c r="E38" s="54">
        <v>20000</v>
      </c>
      <c r="F38" s="49">
        <f>(E38/2)*D38</f>
        <v>500</v>
      </c>
    </row>
    <row r="39" spans="1:6" s="8" customFormat="1" ht="15" x14ac:dyDescent="0.25">
      <c r="B39" s="8" t="s">
        <v>19</v>
      </c>
      <c r="C39" s="53">
        <f>0.55*C40</f>
        <v>0.77916666666666679</v>
      </c>
      <c r="D39" s="40">
        <f>SUM(F19:F29,F37)</f>
        <v>12029.16</v>
      </c>
      <c r="E39" s="52">
        <v>0.05</v>
      </c>
      <c r="F39" s="49">
        <f>E39*(D39*C39)</f>
        <v>468.63602500000007</v>
      </c>
    </row>
    <row r="40" spans="1:6" s="8" customFormat="1" ht="15" x14ac:dyDescent="0.25">
      <c r="B40" s="8" t="s">
        <v>18</v>
      </c>
      <c r="C40" s="51">
        <f>C7/12</f>
        <v>1.4166666666666667</v>
      </c>
      <c r="D40" s="40">
        <f>F18</f>
        <v>11000</v>
      </c>
      <c r="E40" s="50">
        <v>0.05</v>
      </c>
      <c r="F40" s="49">
        <f>E40*(D40*C40)</f>
        <v>779.16666666666674</v>
      </c>
    </row>
    <row r="41" spans="1:6" s="8" customFormat="1" thickBot="1" x14ac:dyDescent="0.3">
      <c r="A41" s="32" t="s">
        <v>17</v>
      </c>
      <c r="B41" s="32"/>
      <c r="C41" s="30"/>
      <c r="D41" s="30"/>
      <c r="E41" s="30"/>
      <c r="F41" s="48">
        <f>SUM(F35:F40)</f>
        <v>3281.1360249999998</v>
      </c>
    </row>
    <row r="42" spans="1:6" s="8" customFormat="1" thickBot="1" x14ac:dyDescent="0.3">
      <c r="C42" s="7"/>
      <c r="D42" s="7"/>
      <c r="E42" s="7"/>
      <c r="F42" s="47"/>
    </row>
    <row r="43" spans="1:6" s="8" customFormat="1" thickBot="1" x14ac:dyDescent="0.3">
      <c r="A43" s="28" t="s">
        <v>16</v>
      </c>
      <c r="B43" s="46"/>
      <c r="C43" s="45"/>
      <c r="D43" s="45"/>
      <c r="E43" s="45"/>
      <c r="F43" s="44">
        <f>F14-F30-F41</f>
        <v>-4267.0281499999983</v>
      </c>
    </row>
    <row r="44" spans="1:6" s="8" customFormat="1" ht="15" x14ac:dyDescent="0.25">
      <c r="A44" s="9"/>
      <c r="C44" s="7"/>
      <c r="D44" s="7"/>
      <c r="E44" s="7"/>
      <c r="F44" s="10"/>
    </row>
    <row r="45" spans="1:6" s="8" customFormat="1" ht="15" x14ac:dyDescent="0.25">
      <c r="A45" s="9"/>
      <c r="C45" s="7"/>
      <c r="D45" s="7"/>
      <c r="E45" s="7"/>
      <c r="F45" s="10"/>
    </row>
    <row r="46" spans="1:6" s="8" customFormat="1" thickBot="1" x14ac:dyDescent="0.3">
      <c r="A46" s="32" t="s">
        <v>15</v>
      </c>
      <c r="B46" s="43"/>
      <c r="C46" s="42" t="s">
        <v>14</v>
      </c>
      <c r="D46" s="42" t="s">
        <v>13</v>
      </c>
      <c r="E46" s="42" t="s">
        <v>12</v>
      </c>
      <c r="F46" s="41" t="s">
        <v>11</v>
      </c>
    </row>
    <row r="47" spans="1:6" s="8" customFormat="1" ht="15" x14ac:dyDescent="0.25">
      <c r="A47" s="9"/>
      <c r="B47" s="8" t="s">
        <v>10</v>
      </c>
      <c r="C47" s="37" t="s">
        <v>6</v>
      </c>
      <c r="D47" s="37">
        <v>0</v>
      </c>
      <c r="E47" s="40">
        <f>143.51*C4</f>
        <v>1655.0290749999999</v>
      </c>
      <c r="F47" s="38">
        <f>PRODUCT(D47*E47)</f>
        <v>0</v>
      </c>
    </row>
    <row r="48" spans="1:6" s="8" customFormat="1" ht="15" x14ac:dyDescent="0.25">
      <c r="B48" s="8" t="s">
        <v>9</v>
      </c>
      <c r="C48" s="39" t="s">
        <v>6</v>
      </c>
      <c r="D48" s="35">
        <v>0</v>
      </c>
      <c r="E48" s="34">
        <v>0</v>
      </c>
      <c r="F48" s="38">
        <f>PRODUCT(D48*E48)</f>
        <v>0</v>
      </c>
    </row>
    <row r="49" spans="1:6" s="8" customFormat="1" ht="15" x14ac:dyDescent="0.25">
      <c r="A49" s="9"/>
      <c r="B49" s="8" t="s">
        <v>8</v>
      </c>
      <c r="C49" s="37" t="s">
        <v>6</v>
      </c>
      <c r="D49" s="35">
        <v>0</v>
      </c>
      <c r="E49" s="34">
        <v>1850</v>
      </c>
      <c r="F49" s="33">
        <f>PRODUCT(D49*E49)</f>
        <v>0</v>
      </c>
    </row>
    <row r="50" spans="1:6" s="8" customFormat="1" ht="15" x14ac:dyDescent="0.25">
      <c r="A50" s="9"/>
      <c r="B50" s="8" t="s">
        <v>7</v>
      </c>
      <c r="C50" s="36" t="s">
        <v>6</v>
      </c>
      <c r="D50" s="35">
        <v>0</v>
      </c>
      <c r="E50" s="34">
        <v>3950</v>
      </c>
      <c r="F50" s="33">
        <f>PRODUCT(D50*E50)</f>
        <v>0</v>
      </c>
    </row>
    <row r="51" spans="1:6" s="9" customFormat="1" thickBot="1" x14ac:dyDescent="0.3">
      <c r="A51" s="32" t="s">
        <v>5</v>
      </c>
      <c r="B51" s="32"/>
      <c r="C51" s="30"/>
      <c r="D51" s="31"/>
      <c r="E51" s="30"/>
      <c r="F51" s="29">
        <f>SUM(F47:F50)</f>
        <v>0</v>
      </c>
    </row>
    <row r="52" spans="1:6" s="9" customFormat="1" thickBot="1" x14ac:dyDescent="0.3">
      <c r="C52" s="22"/>
      <c r="D52" s="23"/>
      <c r="E52" s="22"/>
      <c r="F52" s="21"/>
    </row>
    <row r="53" spans="1:6" s="9" customFormat="1" thickBot="1" x14ac:dyDescent="0.3">
      <c r="A53" s="28" t="s">
        <v>4</v>
      </c>
      <c r="B53" s="25"/>
      <c r="C53" s="27"/>
      <c r="D53" s="26"/>
      <c r="E53" s="25"/>
      <c r="F53" s="24">
        <f>F14-F30-F41+F51</f>
        <v>-4267.0281499999983</v>
      </c>
    </row>
    <row r="54" spans="1:6" s="9" customFormat="1" ht="15" x14ac:dyDescent="0.25">
      <c r="C54" s="22"/>
      <c r="D54" s="23"/>
      <c r="E54" s="22"/>
      <c r="F54" s="21"/>
    </row>
    <row r="55" spans="1:6" s="9" customFormat="1" ht="15" x14ac:dyDescent="0.25">
      <c r="C55" s="22"/>
      <c r="D55" s="23"/>
      <c r="E55" s="22"/>
      <c r="F55" s="21"/>
    </row>
    <row r="56" spans="1:6" s="9" customFormat="1" ht="15" x14ac:dyDescent="0.25">
      <c r="C56" s="22"/>
      <c r="D56" s="23"/>
      <c r="E56" s="22"/>
      <c r="F56" s="21"/>
    </row>
    <row r="57" spans="1:6" s="9" customFormat="1" ht="15" x14ac:dyDescent="0.25">
      <c r="C57" s="22"/>
      <c r="D57" s="23"/>
      <c r="E57" s="22"/>
      <c r="F57" s="21"/>
    </row>
    <row r="58" spans="1:6" ht="31.9" customHeight="1" x14ac:dyDescent="0.25">
      <c r="A58" s="17" t="s">
        <v>3</v>
      </c>
      <c r="B58" s="16"/>
      <c r="C58" s="20" t="s">
        <v>2</v>
      </c>
      <c r="D58" s="20" t="s">
        <v>1</v>
      </c>
      <c r="E58" s="1"/>
      <c r="F58" s="1"/>
    </row>
    <row r="59" spans="1:6" x14ac:dyDescent="0.25">
      <c r="A59" s="9" t="str">
        <f>A18</f>
        <v>Inköp djur</v>
      </c>
      <c r="C59" s="6">
        <f>F18</f>
        <v>11000</v>
      </c>
      <c r="D59" s="18">
        <f t="shared" ref="D59:D66" si="1">C59/($C$7*30.4)</f>
        <v>21.284829721362232</v>
      </c>
      <c r="E59" s="1"/>
      <c r="F59" s="1"/>
    </row>
    <row r="60" spans="1:6" x14ac:dyDescent="0.25">
      <c r="A60" s="19" t="str">
        <f>A19</f>
        <v>Foder</v>
      </c>
      <c r="C60" s="6">
        <f>SUM(F19:F24)</f>
        <v>5457.16</v>
      </c>
      <c r="D60" s="18">
        <f t="shared" si="1"/>
        <v>10.559520123839009</v>
      </c>
      <c r="E60" s="1"/>
      <c r="F60" s="1"/>
    </row>
    <row r="61" spans="1:6" x14ac:dyDescent="0.25">
      <c r="A61" s="19" t="str">
        <f>A25</f>
        <v>Foderberedning</v>
      </c>
      <c r="C61" s="6">
        <f>F25</f>
        <v>1638</v>
      </c>
      <c r="D61" s="18">
        <f t="shared" si="1"/>
        <v>3.1695046439628487</v>
      </c>
      <c r="E61" s="1"/>
      <c r="F61" s="1"/>
    </row>
    <row r="62" spans="1:6" x14ac:dyDescent="0.25">
      <c r="A62" s="19" t="str">
        <f>A26</f>
        <v>Strö</v>
      </c>
      <c r="C62" s="6">
        <f>F26</f>
        <v>1440</v>
      </c>
      <c r="D62" s="18">
        <f t="shared" si="1"/>
        <v>2.7863777089783284</v>
      </c>
      <c r="E62" s="1"/>
      <c r="F62" s="1"/>
    </row>
    <row r="63" spans="1:6" x14ac:dyDescent="0.25">
      <c r="A63" s="9" t="str">
        <f>A27</f>
        <v>Diverse</v>
      </c>
      <c r="C63" s="6">
        <f>SUM(F27:F28)</f>
        <v>710</v>
      </c>
      <c r="D63" s="18">
        <f t="shared" si="1"/>
        <v>1.3738390092879258</v>
      </c>
      <c r="E63" s="1"/>
      <c r="F63" s="1"/>
    </row>
    <row r="64" spans="1:6" x14ac:dyDescent="0.25">
      <c r="A64" s="9" t="str">
        <f>A29</f>
        <v>Arbete</v>
      </c>
      <c r="C64" s="6">
        <f>F29</f>
        <v>2584</v>
      </c>
      <c r="D64" s="18">
        <f t="shared" si="1"/>
        <v>5</v>
      </c>
      <c r="E64" s="1"/>
      <c r="F64" s="1"/>
    </row>
    <row r="65" spans="1:6" x14ac:dyDescent="0.25">
      <c r="A65" s="9" t="str">
        <f>A36</f>
        <v>Byggnader</v>
      </c>
      <c r="C65" s="6">
        <f>F36+F37</f>
        <v>1533.3333333333333</v>
      </c>
      <c r="D65" s="18">
        <f t="shared" si="1"/>
        <v>2.9669762641898867</v>
      </c>
      <c r="E65" s="1"/>
      <c r="F65" s="1"/>
    </row>
    <row r="66" spans="1:6" x14ac:dyDescent="0.25">
      <c r="A66" s="17" t="str">
        <f>A38</f>
        <v>Ränta</v>
      </c>
      <c r="B66" s="16"/>
      <c r="C66" s="15">
        <f>F38+F39+F40</f>
        <v>1747.8026916666668</v>
      </c>
      <c r="D66" s="14">
        <f t="shared" si="1"/>
        <v>3.3819711526057796</v>
      </c>
      <c r="E66" s="1"/>
      <c r="F66" s="1"/>
    </row>
    <row r="67" spans="1:6" x14ac:dyDescent="0.25">
      <c r="A67" s="9"/>
      <c r="B67" s="13" t="s">
        <v>0</v>
      </c>
      <c r="C67" s="12">
        <f>SUM(C59:C66)</f>
        <v>26110.296025</v>
      </c>
      <c r="D67" s="11">
        <f>SUM(D59:D66)</f>
        <v>50.523018624226012</v>
      </c>
      <c r="E67" s="10"/>
      <c r="F67" s="1"/>
    </row>
    <row r="68" spans="1:6" x14ac:dyDescent="0.25">
      <c r="A68" s="9"/>
      <c r="B68" s="8"/>
      <c r="C68" s="7"/>
      <c r="D68" s="6"/>
      <c r="E68" s="5"/>
      <c r="F68" s="4"/>
    </row>
  </sheetData>
  <mergeCells count="1">
    <mergeCell ref="A2:F2"/>
  </mergeCells>
  <dataValidations count="1">
    <dataValidation type="list" allowBlank="1" showInputMessage="1" showErrorMessage="1" sqref="C5" xr:uid="{C108C977-C031-48A1-A8AA-0DA66BCC9970}">
      <formula1>stödområde</formula1>
    </dataValidation>
  </dataValidations>
  <pageMargins left="0.74803149606299213" right="0.74803149606299213" top="0.94488188976377963" bottom="0.62992125984251968" header="0.39370078740157483" footer="0.31496062992125984"/>
  <pageSetup paperSize="9" scale="96" orientation="portrait" horizontalDpi="4294967293" r:id="rId1"/>
  <headerFooter alignWithMargins="0">
    <oddHeader>&amp;L&amp;G&amp;R&amp;G</oddHeader>
    <oddFooter>&amp;C&amp;"Myriad Pro,Normal"Gård &amp; Djurhälsan – Växel: 0771-21 65 00 – www.gårdochdjurhälsan.se</oddFooter>
  </headerFooter>
  <rowBreaks count="1" manualBreakCount="1">
    <brk id="57" max="16383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ADD545A45F9F43AED6EBA40EC1AE5C" ma:contentTypeVersion="10" ma:contentTypeDescription="Skapa ett nytt dokument." ma:contentTypeScope="" ma:versionID="b4f098ee8cccf9672f7cce11fa6e35ea">
  <xsd:schema xmlns:xsd="http://www.w3.org/2001/XMLSchema" xmlns:xs="http://www.w3.org/2001/XMLSchema" xmlns:p="http://schemas.microsoft.com/office/2006/metadata/properties" xmlns:ns2="25e3b96d-f944-4d96-82e3-ff99979a0fcb" xmlns:ns3="dc9bf6b0-c037-4e8f-b370-165ec66c887d" targetNamespace="http://schemas.microsoft.com/office/2006/metadata/properties" ma:root="true" ma:fieldsID="b6438070d241c37cd56936458a9ff0ca" ns2:_="" ns3:_="">
    <xsd:import namespace="25e3b96d-f944-4d96-82e3-ff99979a0fcb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b96d-f944-4d96-82e3-ff99979a0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9bf6b0-c037-4e8f-b370-165ec66c887d">SQMHNX6NJ7S5-386207687-35626</_dlc_DocId>
    <TaxCatchAll xmlns="dc9bf6b0-c037-4e8f-b370-165ec66c887d" xsi:nil="true"/>
    <_dlc_DocIdUrl xmlns="dc9bf6b0-c037-4e8f-b370-165ec66c887d">
      <Url>https://svdhv.sharepoint.com/Intranet/arbetsrum/A2/_layouts/15/DocIdRedir.aspx?ID=SQMHNX6NJ7S5-386207687-35626</Url>
      <Description>SQMHNX6NJ7S5-386207687-35626</Description>
    </_dlc_DocIdUrl>
    <lcf76f155ced4ddcb4097134ff3c332f xmlns="25e3b96d-f944-4d96-82e3-ff99979a0fcb">
      <Terms xmlns="http://schemas.microsoft.com/office/infopath/2007/PartnerControls"/>
    </lcf76f155ced4ddcb4097134ff3c332f>
    <SharedWithUsers xmlns="dc9bf6b0-c037-4e8f-b370-165ec66c887d">
      <UserInfo>
        <DisplayName/>
        <AccountId xsi:nil="true"/>
        <AccountType/>
      </UserInfo>
    </SharedWithUsers>
    <MediaLengthInSeconds xmlns="25e3b96d-f944-4d96-82e3-ff99979a0f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40D7EF6-0DC5-4408-AF6E-84C07F27F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e3b96d-f944-4d96-82e3-ff99979a0fcb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B203B1-D584-4B67-B1DA-6CFDA69607EE}">
  <ds:schemaRefs>
    <ds:schemaRef ds:uri="http://schemas.microsoft.com/office/2006/metadata/properties"/>
    <ds:schemaRef ds:uri="http://schemas.microsoft.com/office/infopath/2007/PartnerControls"/>
    <ds:schemaRef ds:uri="dc9bf6b0-c037-4e8f-b370-165ec66c887d"/>
    <ds:schemaRef ds:uri="25e3b96d-f944-4d96-82e3-ff99979a0fcb"/>
  </ds:schemaRefs>
</ds:datastoreItem>
</file>

<file path=customXml/itemProps3.xml><?xml version="1.0" encoding="utf-8"?>
<ds:datastoreItem xmlns:ds="http://schemas.openxmlformats.org/officeDocument/2006/customXml" ds:itemID="{66D34B06-1338-4932-A975-43D333B9072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2B8A73-7CDD-4C4C-8264-409FE254AD0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Rekryteringskviga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Sofie Johansson</dc:creator>
  <cp:lastModifiedBy>Anett Seeman</cp:lastModifiedBy>
  <cp:lastPrinted>2024-08-16T12:56:02Z</cp:lastPrinted>
  <dcterms:created xsi:type="dcterms:W3CDTF">2024-08-16T12:54:02Z</dcterms:created>
  <dcterms:modified xsi:type="dcterms:W3CDTF">2025-09-16T07:54:28Z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0x01010038ADD545A45F9F43AED6EBA40EC1AE5C</vt:lpwstr>
  </property>
  <property fmtid="{D5CDD505-2E9C-101B-9397-08002B2CF9AE}" pid="3" name="_dlc_DocIdItemGuid">
    <vt:lpwstr>134ffbcb-8d7e-4c71-95d9-80243b621fc3</vt:lpwstr>
  </property>
  <property fmtid="{D5CDD505-2E9C-101B-9397-08002B2CF9AE}" pid="4" name="Order">
    <vt:r8>1672600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ediaServiceImageTags">
    <vt:lpwstr/>
  </property>
</Properties>
</file>