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dhv.sharepoint.com/Intranet/arbetsrum/A15/Delade dokument/3. NÖT/252 Kalkylplattform Nöt, Anett, BP2022/Nytt material/Färdigt/"/>
    </mc:Choice>
  </mc:AlternateContent>
  <xr:revisionPtr revIDLastSave="398" documentId="8_{400396EE-7F7A-44C8-B90E-00F45A28FD6F}" xr6:coauthVersionLast="47" xr6:coauthVersionMax="47" xr10:uidLastSave="{83DAE994-938F-4E7C-8902-A8FBF81EB645}"/>
  <bookViews>
    <workbookView xWindow="-108" yWindow="-108" windowWidth="23256" windowHeight="12456" xr2:uid="{00000000-000D-0000-FFFF-FFFF00000000}"/>
  </bookViews>
  <sheets>
    <sheet name="Mjölkrastjur" sheetId="9" r:id="rId1"/>
    <sheet name="Lätt köttrastjur " sheetId="8" r:id="rId2"/>
    <sheet name="Tung köttrastjur" sheetId="7" r:id="rId3"/>
    <sheet name="Blad1" sheetId="4" state="hidden" r:id="rId4"/>
  </sheets>
  <definedNames>
    <definedName name="stödområde">Blad1!$A$3:$A$14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7" l="1"/>
  <c r="F53" i="7" s="1"/>
  <c r="E54" i="9"/>
  <c r="G58" i="8"/>
  <c r="F58" i="8"/>
  <c r="G54" i="8"/>
  <c r="F54" i="8"/>
  <c r="E54" i="8"/>
  <c r="F54" i="9"/>
  <c r="G54" i="9" s="1"/>
  <c r="G58" i="9" s="1"/>
  <c r="D27" i="9"/>
  <c r="F57" i="7" l="1"/>
  <c r="G53" i="7"/>
  <c r="G57" i="7" s="1"/>
  <c r="F58" i="9"/>
  <c r="F55" i="8" l="1"/>
  <c r="F56" i="8"/>
  <c r="F57" i="8"/>
  <c r="F55" i="9"/>
  <c r="G55" i="9" s="1"/>
  <c r="F56" i="9"/>
  <c r="G56" i="9" s="1"/>
  <c r="F57" i="9"/>
  <c r="G57" i="9" s="1"/>
  <c r="C8" i="7"/>
  <c r="C8" i="8"/>
  <c r="C8" i="9"/>
  <c r="F33" i="7"/>
  <c r="D31" i="7" l="1"/>
  <c r="F31" i="7" s="1"/>
  <c r="G31" i="7" s="1"/>
  <c r="D30" i="7"/>
  <c r="C47" i="7"/>
  <c r="C46" i="7" s="1"/>
  <c r="D32" i="8"/>
  <c r="D30" i="8"/>
  <c r="F30" i="8" s="1"/>
  <c r="G30" i="8" s="1"/>
  <c r="D31" i="8"/>
  <c r="F31" i="8" s="1"/>
  <c r="G31" i="8" s="1"/>
  <c r="D29" i="9"/>
  <c r="D32" i="9"/>
  <c r="D30" i="9"/>
  <c r="F30" i="9" s="1"/>
  <c r="G30" i="9" s="1"/>
  <c r="D31" i="9"/>
  <c r="D35" i="7"/>
  <c r="D32" i="7"/>
  <c r="F30" i="7"/>
  <c r="G30" i="7" s="1"/>
  <c r="F31" i="9"/>
  <c r="G31" i="9" s="1"/>
  <c r="D35" i="9"/>
  <c r="F32" i="9"/>
  <c r="F28" i="9"/>
  <c r="G28" i="9" s="1"/>
  <c r="F43" i="9"/>
  <c r="F45" i="9"/>
  <c r="G45" i="9" s="1"/>
  <c r="F42" i="9"/>
  <c r="G42" i="9" s="1"/>
  <c r="F34" i="9"/>
  <c r="G34" i="9" s="1"/>
  <c r="F33" i="9"/>
  <c r="G33" i="9" s="1"/>
  <c r="F27" i="9"/>
  <c r="G27" i="9" s="1"/>
  <c r="F26" i="9"/>
  <c r="G26" i="9" s="1"/>
  <c r="F25" i="9"/>
  <c r="G25" i="9" s="1"/>
  <c r="F24" i="9"/>
  <c r="G24" i="9" s="1"/>
  <c r="F23" i="9"/>
  <c r="F21" i="9"/>
  <c r="G21" i="9" s="1"/>
  <c r="F20" i="9"/>
  <c r="G20" i="9" s="1"/>
  <c r="E14" i="9"/>
  <c r="D14" i="9"/>
  <c r="D12" i="9"/>
  <c r="D13" i="9" s="1"/>
  <c r="F13" i="9" s="1"/>
  <c r="G13" i="9" s="1"/>
  <c r="F14" i="9" l="1"/>
  <c r="G14" i="9" s="1"/>
  <c r="F12" i="9"/>
  <c r="G23" i="9"/>
  <c r="G43" i="9"/>
  <c r="F44" i="9"/>
  <c r="G44" i="9" s="1"/>
  <c r="F35" i="9"/>
  <c r="G35" i="9" s="1"/>
  <c r="C47" i="9"/>
  <c r="C46" i="9" s="1"/>
  <c r="G32" i="9"/>
  <c r="D15" i="9"/>
  <c r="F15" i="9" s="1"/>
  <c r="G15" i="9" s="1"/>
  <c r="F29" i="9"/>
  <c r="G29" i="9" s="1"/>
  <c r="F16" i="9" l="1"/>
  <c r="G12" i="9"/>
  <c r="F5" i="9"/>
  <c r="E22" i="9" s="1"/>
  <c r="D46" i="9"/>
  <c r="F46" i="9" s="1"/>
  <c r="G46" i="9" s="1"/>
  <c r="G16" i="9"/>
  <c r="G57" i="8" l="1"/>
  <c r="G55" i="8"/>
  <c r="C47" i="8"/>
  <c r="C46" i="8" s="1"/>
  <c r="F45" i="8"/>
  <c r="G45" i="8" s="1"/>
  <c r="F44" i="8"/>
  <c r="F43" i="8"/>
  <c r="F42" i="8"/>
  <c r="G42" i="8" s="1"/>
  <c r="D35" i="8"/>
  <c r="F35" i="8" s="1"/>
  <c r="G35" i="8" s="1"/>
  <c r="F34" i="8"/>
  <c r="G34" i="8" s="1"/>
  <c r="F33" i="8"/>
  <c r="G33" i="8" s="1"/>
  <c r="F32" i="8"/>
  <c r="G32" i="8" s="1"/>
  <c r="D29" i="8"/>
  <c r="F29" i="8" s="1"/>
  <c r="G29" i="8" s="1"/>
  <c r="F28" i="8"/>
  <c r="G28" i="8" s="1"/>
  <c r="F27" i="8"/>
  <c r="G27" i="8" s="1"/>
  <c r="F26" i="8"/>
  <c r="G26" i="8" s="1"/>
  <c r="F25" i="8"/>
  <c r="G25" i="8" s="1"/>
  <c r="F24" i="8"/>
  <c r="G24" i="8" s="1"/>
  <c r="F23" i="8"/>
  <c r="F21" i="8"/>
  <c r="G21" i="8" s="1"/>
  <c r="F20" i="8"/>
  <c r="D15" i="8"/>
  <c r="F15" i="8" s="1"/>
  <c r="G15" i="8" s="1"/>
  <c r="E14" i="8"/>
  <c r="D14" i="8"/>
  <c r="D12" i="8"/>
  <c r="D13" i="8" s="1"/>
  <c r="F13" i="8" s="1"/>
  <c r="G13" i="8" s="1"/>
  <c r="F25" i="7"/>
  <c r="G25" i="7" s="1"/>
  <c r="F21" i="7"/>
  <c r="G21" i="7" s="1"/>
  <c r="G56" i="8" l="1"/>
  <c r="G43" i="8"/>
  <c r="F5" i="8"/>
  <c r="E22" i="8" s="1"/>
  <c r="F22" i="8" s="1"/>
  <c r="F36" i="8" s="1"/>
  <c r="G20" i="8"/>
  <c r="F12" i="8"/>
  <c r="F14" i="8"/>
  <c r="G14" i="8" s="1"/>
  <c r="D46" i="8"/>
  <c r="F46" i="8" s="1"/>
  <c r="G44" i="8"/>
  <c r="G23" i="8"/>
  <c r="G46" i="8" l="1"/>
  <c r="G36" i="8"/>
  <c r="D47" i="8"/>
  <c r="F47" i="8" s="1"/>
  <c r="G47" i="8" s="1"/>
  <c r="G22" i="8"/>
  <c r="F16" i="8"/>
  <c r="G16" i="8" s="1"/>
  <c r="G12" i="8"/>
  <c r="E14" i="7"/>
  <c r="F38" i="8" l="1"/>
  <c r="G38" i="8" s="1"/>
  <c r="F48" i="8"/>
  <c r="F35" i="7"/>
  <c r="G35" i="7" s="1"/>
  <c r="F32" i="7"/>
  <c r="G32" i="7" s="1"/>
  <c r="D29" i="7"/>
  <c r="F29" i="7" s="1"/>
  <c r="G29" i="7" s="1"/>
  <c r="F44" i="7"/>
  <c r="G44" i="7" s="1"/>
  <c r="F43" i="7"/>
  <c r="G43" i="7" s="1"/>
  <c r="F45" i="7"/>
  <c r="G45" i="7" s="1"/>
  <c r="F42" i="7"/>
  <c r="G42" i="7" s="1"/>
  <c r="F34" i="7"/>
  <c r="G34" i="7" s="1"/>
  <c r="G33" i="7"/>
  <c r="F28" i="7"/>
  <c r="G28" i="7" s="1"/>
  <c r="F27" i="7"/>
  <c r="G27" i="7" s="1"/>
  <c r="F26" i="7"/>
  <c r="G26" i="7" s="1"/>
  <c r="F24" i="7"/>
  <c r="G24" i="7" s="1"/>
  <c r="F23" i="7"/>
  <c r="D46" i="7" s="1"/>
  <c r="F20" i="7"/>
  <c r="F56" i="7"/>
  <c r="G56" i="7" s="1"/>
  <c r="F55" i="7"/>
  <c r="G55" i="7" s="1"/>
  <c r="F54" i="7"/>
  <c r="D14" i="7"/>
  <c r="F14" i="7" s="1"/>
  <c r="G14" i="7" s="1"/>
  <c r="D15" i="7"/>
  <c r="F15" i="7" s="1"/>
  <c r="G15" i="7" s="1"/>
  <c r="D12" i="7"/>
  <c r="D13" i="7" s="1"/>
  <c r="F13" i="7" s="1"/>
  <c r="G13" i="7" s="1"/>
  <c r="G20" i="7" l="1"/>
  <c r="F50" i="8"/>
  <c r="G50" i="8" s="1"/>
  <c r="G48" i="8"/>
  <c r="G54" i="7"/>
  <c r="G23" i="7"/>
  <c r="F5" i="7"/>
  <c r="E22" i="7" s="1"/>
  <c r="F22" i="7" s="1"/>
  <c r="D47" i="7" s="1"/>
  <c r="F46" i="7"/>
  <c r="G46" i="7" s="1"/>
  <c r="F12" i="7"/>
  <c r="F16" i="7" l="1"/>
  <c r="G16" i="7" s="1"/>
  <c r="G12" i="7"/>
  <c r="F47" i="7"/>
  <c r="G47" i="7" s="1"/>
  <c r="G22" i="7"/>
  <c r="F36" i="7"/>
  <c r="F48" i="7" l="1"/>
  <c r="G48" i="7" s="1"/>
  <c r="F38" i="7"/>
  <c r="G38" i="7" s="1"/>
  <c r="G36" i="7"/>
  <c r="F50" i="7" l="1"/>
  <c r="G50" i="7" s="1"/>
  <c r="F22" i="9" l="1"/>
  <c r="D47" i="9" s="1"/>
  <c r="F47" i="9" s="1"/>
  <c r="G47" i="9" s="1"/>
  <c r="F36" i="9" l="1"/>
  <c r="G36" i="9" s="1"/>
  <c r="G22" i="9"/>
  <c r="F38" i="9" l="1"/>
  <c r="G38" i="9" s="1"/>
  <c r="F48" i="9"/>
  <c r="G48" i="9" s="1"/>
  <c r="F50" i="9" l="1"/>
  <c r="G5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Lindahl</author>
    <author>tc={152D7F79-BCDE-4674-88DE-5C188296B0FB}</author>
    <author>tc={9B04C169-86B7-4575-9E7C-4729B31890CE}</author>
    <author>tc={D918983F-2D90-4505-AC93-A7DEF7B00B3C}</author>
    <author>tc={DBEE4D0F-18AF-460B-834A-846DB6BE94FF}</author>
  </authors>
  <commentList>
    <comment ref="D15" authorId="0" shapeId="0" xr:uid="{333BA141-BFFD-4B0E-B871-EC9CFA23C2B2}">
      <text>
        <r>
          <rPr>
            <b/>
            <sz val="10"/>
            <color indexed="81"/>
            <rFont val="Tahoma"/>
            <family val="2"/>
          </rPr>
          <t>OBS
Förutsätter tillräcklig areal dvs 1 ha/DE, läs mer på www.sjv.se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54" authorId="1" shapeId="0" xr:uid="{152D7F79-BCDE-4674-88DE-5C188296B0FB}">
      <text>
        <t xml:space="preserve">[Trådad kommentar]
I din version av Excel kan du läsa den här trådade kommentaren, men eventuella ändringar i den tas bort om filen öppnas i en senare version av Excel. Läs mer: https://go.microsoft.com/fwlink/?linkid=870924
Kommentar:
    Gårdsstödet är 143,51 euro per hektar för 2023. </t>
      </text>
    </comment>
    <comment ref="E55" authorId="2" shapeId="0" xr:uid="{9B04C169-86B7-4575-9E7C-4729B31890CE}">
      <text>
        <t>[Trådad kommentar]
I din version av Excel kan du läsa den här trådade kommentaren, men eventuella ändringar i den tas bort om filen öppnas i en senare version av Excel. Läs mer: https://go.microsoft.com/fwlink/?linkid=870924
Kommentar:
    Olika belopp beroende på område. Läs mer på https://jordbruksverket.se/stod/jordbruk-tradgard-och-rennaring/jordbruksmark/kompensationsstod</t>
      </text>
    </comment>
    <comment ref="E56" authorId="3" shapeId="0" xr:uid="{D918983F-2D90-4505-AC93-A7DEF7B00B3C}">
      <text>
        <t>[Trådad kommentar]
I din version av Excel kan du läsa den här trådade kommentaren, men eventuella ändringar i den tas bort om filen öppnas i en senare version av Excel. Läs mer: https://go.microsoft.com/fwlink/?linkid=870924
Kommentar:
    Ersättningen är 1 850 kr/ha för 2023</t>
      </text>
    </comment>
    <comment ref="E57" authorId="4" shapeId="0" xr:uid="{DBEE4D0F-18AF-460B-834A-846DB6BE94FF}">
      <text>
        <t>[Trådad kommentar]
I din version av Excel kan du läsa den här trådade kommentaren, men eventuella ändringar i den tas bort om filen öppnas i en senare version av Excel. Läs mer: https://go.microsoft.com/fwlink/?linkid=870924
Kommentar:
    Ersättningen är 3 950 kr/ha för 2023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Lindahl</author>
    <author>tc={11B45550-57DF-4E3B-969F-7111ADB91FC6}</author>
    <author>tc={C1E03EC1-3A4A-46DF-B435-E1EE2780608C}</author>
    <author>tc={7ED794C6-D197-40CE-B51E-22BF9A0B6AB6}</author>
    <author>tc={C951B270-6B9D-4377-99EC-A959236E3CED}</author>
  </authors>
  <commentList>
    <comment ref="D15" authorId="0" shapeId="0" xr:uid="{E3C8513C-3EEB-4DC5-B4AF-83FAD68F5DDC}">
      <text>
        <r>
          <rPr>
            <b/>
            <sz val="10"/>
            <color indexed="81"/>
            <rFont val="Tahoma"/>
            <family val="2"/>
          </rPr>
          <t>OBS
Förutsätter tillräcklig areal dvs 1 ha/DE, läs mer på www.sjv.se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54" authorId="1" shapeId="0" xr:uid="{11B45550-57DF-4E3B-969F-7111ADB91FC6}">
      <text>
        <t xml:space="preserve">[Trådad kommentar]
I din version av Excel kan du läsa den här trådade kommentaren, men eventuella ändringar i den tas bort om filen öppnas i en senare version av Excel. Läs mer: https://go.microsoft.com/fwlink/?linkid=870924
Kommentar:
    Gårdsstödet är 143,51 euro per hektar för 2023. </t>
      </text>
    </comment>
    <comment ref="E55" authorId="2" shapeId="0" xr:uid="{C1E03EC1-3A4A-46DF-B435-E1EE2780608C}">
      <text>
        <t>[Trådad kommentar]
I din version av Excel kan du läsa den här trådade kommentaren, men eventuella ändringar i den tas bort om filen öppnas i en senare version av Excel. Läs mer: https://go.microsoft.com/fwlink/?linkid=870924
Kommentar:
    Olika belopp beroende på område. Läs mer på https://jordbruksverket.se/stod/jordbruk-tradgard-och-rennaring/jordbruksmark/kompensationsstod</t>
      </text>
    </comment>
    <comment ref="E56" authorId="3" shapeId="0" xr:uid="{7ED794C6-D197-40CE-B51E-22BF9A0B6AB6}">
      <text>
        <t>[Trådad kommentar]
I din version av Excel kan du läsa den här trådade kommentaren, men eventuella ändringar i den tas bort om filen öppnas i en senare version av Excel. Läs mer: https://go.microsoft.com/fwlink/?linkid=870924
Kommentar:
    Ersättningen är 1 850 kr/ha för 2023</t>
      </text>
    </comment>
    <comment ref="E57" authorId="4" shapeId="0" xr:uid="{C951B270-6B9D-4377-99EC-A959236E3CED}">
      <text>
        <t>[Trådad kommentar]
I din version av Excel kan du läsa den här trådade kommentaren, men eventuella ändringar i den tas bort om filen öppnas i en senare version av Excel. Läs mer: https://go.microsoft.com/fwlink/?linkid=870924
Kommentar:
    Ersättningen är 3 950 kr/ha för 2023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Lindahl</author>
    <author>tc={FA9B85A6-F4C4-4CE0-BB9B-7D37CD0582DB}</author>
    <author>tc={6E2E2CE9-E5FB-466A-8DC8-820D3CF1820F}</author>
    <author>tc={6BE0F31E-B7BE-4860-83B9-79B3FFFA8F13}</author>
    <author>tc={DACB5E6A-EEC3-4BF6-A647-81F1EFD71609}</author>
  </authors>
  <commentList>
    <comment ref="D15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OBS
Förutsätter tillräcklig areal dvs 1 ha/DE, läs mer på www.sjv.se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53" authorId="1" shapeId="0" xr:uid="{FA9B85A6-F4C4-4CE0-BB9B-7D37CD0582DB}">
      <text>
        <t xml:space="preserve">[Trådad kommentar]
I din version av Excel kan du läsa den här trådade kommentaren, men eventuella ändringar i den tas bort om filen öppnas i en senare version av Excel. Läs mer: https://go.microsoft.com/fwlink/?linkid=870924
Kommentar:
    Gårdsstödet är 143,51 euro per hektar för 2023. </t>
      </text>
    </comment>
    <comment ref="E54" authorId="2" shapeId="0" xr:uid="{6E2E2CE9-E5FB-466A-8DC8-820D3CF1820F}">
      <text>
        <t>[Trådad kommentar]
I din version av Excel kan du läsa den här trådade kommentaren, men eventuella ändringar i den tas bort om filen öppnas i en senare version av Excel. Läs mer: https://go.microsoft.com/fwlink/?linkid=870924
Kommentar:
    Olika belopp beroende på område. Läs mer på https://jordbruksverket.se/stod/jordbruk-tradgard-och-rennaring/jordbruksmark/kompensationsstod</t>
      </text>
    </comment>
    <comment ref="E55" authorId="3" shapeId="0" xr:uid="{6BE0F31E-B7BE-4860-83B9-79B3FFFA8F13}">
      <text>
        <t>[Trådad kommentar]
I din version av Excel kan du läsa den här trådade kommentaren, men eventuella ändringar i den tas bort om filen öppnas i en senare version av Excel. Läs mer: https://go.microsoft.com/fwlink/?linkid=870924
Kommentar:
    Ersättningen är 1 850 kr/ha för 2023</t>
      </text>
    </comment>
    <comment ref="E56" authorId="4" shapeId="0" xr:uid="{DACB5E6A-EEC3-4BF6-A647-81F1EFD71609}">
      <text>
        <t>[Trådad kommentar]
I din version av Excel kan du läsa den här trådade kommentaren, men eventuella ändringar i den tas bort om filen öppnas i en senare version av Excel. Läs mer: https://go.microsoft.com/fwlink/?linkid=870924
Kommentar:
    Ersättningen är 3 950 kr/ha för 2023</t>
      </text>
    </comment>
  </commentList>
</comments>
</file>

<file path=xl/sharedStrings.xml><?xml version="1.0" encoding="utf-8"?>
<sst xmlns="http://schemas.openxmlformats.org/spreadsheetml/2006/main" count="306" uniqueCount="77">
  <si>
    <t>Slaktålder</t>
  </si>
  <si>
    <t>mån</t>
  </si>
  <si>
    <t>Uppfödningstid</t>
  </si>
  <si>
    <t>Slaktvikt</t>
  </si>
  <si>
    <t>kg</t>
  </si>
  <si>
    <t>Enhet</t>
  </si>
  <si>
    <t>Kvant.</t>
  </si>
  <si>
    <t>Pris</t>
  </si>
  <si>
    <t>Värde</t>
  </si>
  <si>
    <t>Intäkter:</t>
  </si>
  <si>
    <t xml:space="preserve">Kött </t>
  </si>
  <si>
    <t>Summa intäkter</t>
  </si>
  <si>
    <t>Inköp djur</t>
  </si>
  <si>
    <t>Förmedlingsavgift</t>
  </si>
  <si>
    <t>st</t>
  </si>
  <si>
    <t>Foder</t>
  </si>
  <si>
    <t>kg ts</t>
  </si>
  <si>
    <t>Spannmål</t>
  </si>
  <si>
    <t xml:space="preserve">kg </t>
  </si>
  <si>
    <t>Mineraler</t>
  </si>
  <si>
    <t>Strö</t>
  </si>
  <si>
    <t>Diverse</t>
  </si>
  <si>
    <t>Veterinär, medicin,diverse</t>
  </si>
  <si>
    <t>Underhåll byggnader</t>
  </si>
  <si>
    <t>Ränta rörelsekapital</t>
  </si>
  <si>
    <t>Ränta djurkapital</t>
  </si>
  <si>
    <t>Byggnader</t>
  </si>
  <si>
    <t>Arbete</t>
  </si>
  <si>
    <t>h</t>
  </si>
  <si>
    <t>Täckningsbidrag 2</t>
  </si>
  <si>
    <t>Bete</t>
  </si>
  <si>
    <t>Avskrivning</t>
  </si>
  <si>
    <t>år</t>
  </si>
  <si>
    <t>Summa särkostnader 1</t>
  </si>
  <si>
    <t>Särkostnader 1:</t>
  </si>
  <si>
    <t>Särkostnader 2:</t>
  </si>
  <si>
    <t>Täckningsbidrag 1</t>
  </si>
  <si>
    <t>Summa särkostnader 2</t>
  </si>
  <si>
    <t>stödområden</t>
  </si>
  <si>
    <t>Komp. bidrag vall &amp; bete</t>
  </si>
  <si>
    <t>Miljöers. bete m allmänna värden</t>
  </si>
  <si>
    <t>Miljöers. bete m särskilda värden</t>
  </si>
  <si>
    <t>2a</t>
  </si>
  <si>
    <t>2b</t>
  </si>
  <si>
    <t>4a</t>
  </si>
  <si>
    <t>4b</t>
  </si>
  <si>
    <t>5a</t>
  </si>
  <si>
    <t>5b</t>
  </si>
  <si>
    <t>5c</t>
  </si>
  <si>
    <t>5m</t>
  </si>
  <si>
    <t>Stöd</t>
  </si>
  <si>
    <t>Ekologiskt stöd</t>
  </si>
  <si>
    <t>Certifieringskostnad</t>
  </si>
  <si>
    <t>Eko tillägg</t>
  </si>
  <si>
    <t>Proteinfodermedel</t>
  </si>
  <si>
    <t>Inköp kalv</t>
  </si>
  <si>
    <t>Försäkring</t>
  </si>
  <si>
    <t>Färdigfoder</t>
  </si>
  <si>
    <t>Nötkreaturstöd</t>
  </si>
  <si>
    <t>Kompensationsstöd</t>
  </si>
  <si>
    <t>Grovfoder 1</t>
  </si>
  <si>
    <t>Grovfoder 2</t>
  </si>
  <si>
    <t>Ränta Byggnader</t>
  </si>
  <si>
    <t xml:space="preserve">Kr/ kg </t>
  </si>
  <si>
    <t>Euro-kurs</t>
  </si>
  <si>
    <t>Dödlighet</t>
  </si>
  <si>
    <t>Kostnad dödlighet (50% av uppf kostn)</t>
  </si>
  <si>
    <t>Summa stöd</t>
  </si>
  <si>
    <t>Salt</t>
  </si>
  <si>
    <t>Foderberedning</t>
  </si>
  <si>
    <t>Insättningsålder</t>
  </si>
  <si>
    <t>PRODUKTIONSGRENSKALKYL - Mjölkrastjur</t>
  </si>
  <si>
    <t>PRODUKTIONSGRENSKALKYL - Lätt köttrastjur</t>
  </si>
  <si>
    <t>PRODUKTIONSGRENSKALKYL - Tung köttrastjur</t>
  </si>
  <si>
    <t>Gårdsstöd</t>
  </si>
  <si>
    <t>hektar</t>
  </si>
  <si>
    <t>Gårdsstöd, kompensationsstöd &amp; miljöersättningar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</si>
</sst>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#,##0\ &quot;kr&quot;;\-#,##0\ &quot;kr&quot;"/>
    <numFmt numFmtId="7" formatCode="#,##0.00\ &quot;kr&quot;;\-#,##0.00\ &quot;kr&quot;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&quot;kr&quot;_-;\-* #,##0\ &quot;kr&quot;_-;_-* &quot;-&quot;??\ &quot;kr&quot;_-;_-@_-"/>
    <numFmt numFmtId="165" formatCode="0.0"/>
    <numFmt numFmtId="166" formatCode="#,##0.0"/>
    <numFmt numFmtId="167" formatCode="_-* #,##0.0\ &quot;kr&quot;_-;\-* #,##0.0\ &quot;kr&quot;_-;_-* &quot;-&quot;??\ &quot;kr&quot;_-;_-@_-"/>
    <numFmt numFmtId="168" formatCode="#,##0.0\ &quot;kr&quot;;\-#,##0.0\ &quot;kr&quot;"/>
    <numFmt numFmtId="169" formatCode="#,##0_ ;\-#,##0\ "/>
  </numFmts>
  <fonts count="2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i/>
      <sz val="11"/>
      <name val="Antique Olive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rgb="FF4D5156"/>
      <name val="Calibri"/>
      <family val="2"/>
    </font>
    <font>
      <sz val="11"/>
      <name val="Calibri"/>
      <family val="2"/>
    </font>
    <font>
      <sz val="11"/>
      <color theme="0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7AA"/>
        <bgColor indexed="64"/>
      </patternFill>
    </fill>
    <fill>
      <patternFill patternType="solid">
        <fgColor rgb="FF96BC5A"/>
        <bgColor indexed="64"/>
      </patternFill>
    </fill>
    <fill>
      <patternFill patternType="solid">
        <fgColor rgb="FFE8EFF9"/>
        <bgColor indexed="64"/>
      </patternFill>
    </fill>
    <fill>
      <patternFill patternType="solid">
        <fgColor rgb="FF9BD6EF"/>
        <bgColor indexed="64"/>
      </patternFill>
    </fill>
    <fill>
      <patternFill patternType="solid">
        <fgColor rgb="FFEBECED"/>
        <bgColor indexed="64"/>
      </patternFill>
    </fill>
    <fill>
      <patternFill patternType="solid">
        <fgColor rgb="FFFFFBD6"/>
        <bgColor indexed="64"/>
      </patternFill>
    </fill>
    <fill>
      <patternFill patternType="solid">
        <fgColor rgb="FFFFE666"/>
        <bgColor indexed="64"/>
      </patternFill>
    </fill>
    <fill>
      <patternFill patternType="solid">
        <fgColor rgb="FFF3EDD5"/>
        <bgColor indexed="64"/>
      </patternFill>
    </fill>
    <fill>
      <patternFill patternType="solid">
        <fgColor rgb="FFDF867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0" borderId="2" xfId="0" applyFont="1" applyBorder="1"/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164" fontId="8" fillId="0" borderId="0" xfId="1" applyNumberFormat="1" applyFont="1" applyBorder="1" applyAlignment="1" applyProtection="1">
      <alignment horizontal="right"/>
    </xf>
    <xf numFmtId="0" fontId="8" fillId="0" borderId="4" xfId="0" applyFont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/>
    <xf numFmtId="164" fontId="12" fillId="0" borderId="0" xfId="1" applyNumberFormat="1" applyFont="1" applyBorder="1" applyAlignment="1" applyProtection="1">
      <alignment horizontal="right"/>
    </xf>
    <xf numFmtId="164" fontId="13" fillId="0" borderId="0" xfId="1" applyNumberFormat="1" applyFont="1" applyFill="1" applyBorder="1" applyAlignment="1" applyProtection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6" fillId="0" borderId="3" xfId="0" applyFont="1" applyBorder="1" applyAlignment="1">
      <alignment horizontal="left"/>
    </xf>
    <xf numFmtId="0" fontId="18" fillId="0" borderId="3" xfId="0" applyFont="1" applyBorder="1" applyAlignment="1" applyProtection="1">
      <alignment horizontal="center"/>
      <protection locked="0"/>
    </xf>
    <xf numFmtId="0" fontId="16" fillId="0" borderId="3" xfId="0" applyFont="1" applyBorder="1"/>
    <xf numFmtId="0" fontId="18" fillId="0" borderId="3" xfId="0" applyFont="1" applyBorder="1" applyAlignment="1">
      <alignment horizontal="center"/>
    </xf>
    <xf numFmtId="0" fontId="16" fillId="0" borderId="5" xfId="0" applyFont="1" applyBorder="1"/>
    <xf numFmtId="0" fontId="18" fillId="0" borderId="5" xfId="0" applyFont="1" applyBorder="1"/>
    <xf numFmtId="0" fontId="16" fillId="0" borderId="6" xfId="0" applyFont="1" applyBorder="1" applyAlignment="1">
      <alignment horizontal="center"/>
    </xf>
    <xf numFmtId="0" fontId="16" fillId="0" borderId="5" xfId="0" applyFont="1" applyBorder="1" applyAlignment="1">
      <alignment horizontal="right"/>
    </xf>
    <xf numFmtId="0" fontId="18" fillId="0" borderId="0" xfId="0" applyFont="1"/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/>
      <protection locked="0"/>
    </xf>
    <xf numFmtId="4" fontId="18" fillId="0" borderId="1" xfId="0" applyNumberFormat="1" applyFont="1" applyBorder="1" applyAlignment="1" applyProtection="1">
      <alignment horizontal="center"/>
      <protection locked="0"/>
    </xf>
    <xf numFmtId="3" fontId="18" fillId="0" borderId="1" xfId="0" applyNumberFormat="1" applyFont="1" applyBorder="1" applyAlignment="1" applyProtection="1">
      <alignment horizontal="center"/>
      <protection locked="0"/>
    </xf>
    <xf numFmtId="0" fontId="16" fillId="0" borderId="0" xfId="0" applyFont="1"/>
    <xf numFmtId="0" fontId="18" fillId="0" borderId="5" xfId="0" applyFont="1" applyBorder="1" applyAlignment="1">
      <alignment horizontal="center"/>
    </xf>
    <xf numFmtId="0" fontId="18" fillId="0" borderId="0" xfId="0" applyFont="1" applyProtection="1">
      <protection locked="0"/>
    </xf>
    <xf numFmtId="1" fontId="18" fillId="0" borderId="1" xfId="0" applyNumberFormat="1" applyFont="1" applyBorder="1" applyAlignment="1" applyProtection="1">
      <alignment horizontal="center"/>
      <protection locked="0"/>
    </xf>
    <xf numFmtId="4" fontId="18" fillId="0" borderId="7" xfId="0" applyNumberFormat="1" applyFont="1" applyBorder="1" applyAlignment="1" applyProtection="1">
      <alignment horizontal="center"/>
      <protection locked="0"/>
    </xf>
    <xf numFmtId="0" fontId="18" fillId="0" borderId="7" xfId="0" applyFont="1" applyBorder="1" applyAlignment="1">
      <alignment horizontal="center"/>
    </xf>
    <xf numFmtId="0" fontId="18" fillId="0" borderId="7" xfId="0" applyFont="1" applyBorder="1" applyProtection="1">
      <protection locked="0"/>
    </xf>
    <xf numFmtId="0" fontId="18" fillId="0" borderId="7" xfId="0" applyFont="1" applyBorder="1"/>
    <xf numFmtId="0" fontId="18" fillId="0" borderId="7" xfId="0" applyFont="1" applyBorder="1" applyAlignment="1" applyProtection="1">
      <alignment horizontal="center"/>
      <protection locked="0"/>
    </xf>
    <xf numFmtId="3" fontId="18" fillId="0" borderId="7" xfId="0" applyNumberFormat="1" applyFont="1" applyBorder="1" applyAlignment="1" applyProtection="1">
      <alignment horizontal="center"/>
      <protection locked="0"/>
    </xf>
    <xf numFmtId="4" fontId="18" fillId="0" borderId="7" xfId="0" applyNumberFormat="1" applyFont="1" applyBorder="1" applyAlignment="1">
      <alignment horizontal="center"/>
    </xf>
    <xf numFmtId="0" fontId="18" fillId="0" borderId="5" xfId="0" applyFont="1" applyBorder="1" applyProtection="1">
      <protection locked="0"/>
    </xf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 applyProtection="1">
      <alignment horizontal="center"/>
      <protection locked="0"/>
    </xf>
    <xf numFmtId="4" fontId="18" fillId="0" borderId="6" xfId="0" applyNumberFormat="1" applyFont="1" applyBorder="1" applyAlignment="1" applyProtection="1">
      <alignment horizontal="center"/>
      <protection locked="0"/>
    </xf>
    <xf numFmtId="9" fontId="18" fillId="0" borderId="1" xfId="0" applyNumberFormat="1" applyFont="1" applyBorder="1" applyAlignment="1" applyProtection="1">
      <alignment horizontal="center"/>
      <protection locked="0"/>
    </xf>
    <xf numFmtId="166" fontId="18" fillId="0" borderId="1" xfId="0" applyNumberFormat="1" applyFont="1" applyBorder="1" applyAlignment="1" applyProtection="1">
      <alignment horizontal="center"/>
      <protection locked="0"/>
    </xf>
    <xf numFmtId="9" fontId="18" fillId="0" borderId="1" xfId="2" applyFont="1" applyFill="1" applyBorder="1" applyAlignment="1" applyProtection="1">
      <alignment horizontal="center"/>
      <protection locked="0"/>
    </xf>
    <xf numFmtId="3" fontId="18" fillId="0" borderId="6" xfId="0" applyNumberFormat="1" applyFont="1" applyBorder="1" applyAlignment="1" applyProtection="1">
      <alignment horizontal="center"/>
      <protection locked="0"/>
    </xf>
    <xf numFmtId="0" fontId="1" fillId="0" borderId="0" xfId="0" applyFont="1"/>
    <xf numFmtId="0" fontId="18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9" xfId="0" applyFont="1" applyBorder="1"/>
    <xf numFmtId="0" fontId="18" fillId="0" borderId="0" xfId="0" applyFont="1" applyAlignment="1">
      <alignment wrapText="1"/>
    </xf>
    <xf numFmtId="164" fontId="8" fillId="0" borderId="0" xfId="0" applyNumberFormat="1" applyFont="1" applyAlignment="1">
      <alignment horizontal="right"/>
    </xf>
    <xf numFmtId="4" fontId="18" fillId="0" borderId="0" xfId="0" applyNumberFormat="1" applyFont="1" applyAlignment="1" applyProtection="1">
      <alignment horizontal="center"/>
      <protection locked="0"/>
    </xf>
    <xf numFmtId="4" fontId="18" fillId="0" borderId="5" xfId="0" applyNumberFormat="1" applyFont="1" applyBorder="1" applyAlignment="1">
      <alignment horizontal="center"/>
    </xf>
    <xf numFmtId="0" fontId="16" fillId="0" borderId="10" xfId="0" applyFont="1" applyBorder="1"/>
    <xf numFmtId="0" fontId="16" fillId="0" borderId="5" xfId="0" applyFont="1" applyBorder="1" applyAlignment="1">
      <alignment horizontal="center"/>
    </xf>
    <xf numFmtId="3" fontId="18" fillId="0" borderId="7" xfId="0" applyNumberFormat="1" applyFont="1" applyBorder="1" applyAlignment="1">
      <alignment horizontal="center"/>
    </xf>
    <xf numFmtId="4" fontId="18" fillId="0" borderId="11" xfId="0" applyNumberFormat="1" applyFont="1" applyBorder="1" applyAlignment="1" applyProtection="1">
      <alignment horizontal="center"/>
      <protection locked="0"/>
    </xf>
    <xf numFmtId="0" fontId="18" fillId="0" borderId="11" xfId="0" applyFont="1" applyBorder="1" applyAlignment="1">
      <alignment horizontal="center"/>
    </xf>
    <xf numFmtId="0" fontId="18" fillId="0" borderId="11" xfId="0" applyFont="1" applyBorder="1"/>
    <xf numFmtId="164" fontId="16" fillId="3" borderId="5" xfId="1" applyNumberFormat="1" applyFont="1" applyFill="1" applyBorder="1" applyAlignment="1" applyProtection="1">
      <alignment horizontal="right"/>
    </xf>
    <xf numFmtId="167" fontId="16" fillId="3" borderId="5" xfId="1" applyNumberFormat="1" applyFont="1" applyFill="1" applyBorder="1" applyAlignment="1" applyProtection="1">
      <alignment horizontal="right"/>
    </xf>
    <xf numFmtId="164" fontId="6" fillId="0" borderId="0" xfId="0" applyNumberFormat="1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9" fontId="18" fillId="0" borderId="1" xfId="2" applyFont="1" applyBorder="1" applyAlignment="1" applyProtection="1">
      <alignment horizontal="center"/>
      <protection locked="0"/>
    </xf>
    <xf numFmtId="44" fontId="9" fillId="0" borderId="0" xfId="0" applyNumberFormat="1" applyFont="1"/>
    <xf numFmtId="44" fontId="8" fillId="0" borderId="0" xfId="0" applyNumberFormat="1" applyFont="1"/>
    <xf numFmtId="44" fontId="12" fillId="0" borderId="0" xfId="0" applyNumberFormat="1" applyFont="1"/>
    <xf numFmtId="44" fontId="16" fillId="0" borderId="5" xfId="0" applyNumberFormat="1" applyFont="1" applyBorder="1" applyAlignment="1">
      <alignment horizontal="right"/>
    </xf>
    <xf numFmtId="44" fontId="18" fillId="0" borderId="1" xfId="0" applyNumberFormat="1" applyFont="1" applyBorder="1" applyAlignment="1" applyProtection="1">
      <alignment horizontal="center"/>
      <protection locked="0"/>
    </xf>
    <xf numFmtId="44" fontId="18" fillId="0" borderId="0" xfId="0" applyNumberFormat="1" applyFont="1" applyAlignment="1" applyProtection="1">
      <alignment horizontal="center"/>
      <protection locked="0"/>
    </xf>
    <xf numFmtId="1" fontId="17" fillId="0" borderId="3" xfId="0" applyNumberFormat="1" applyFont="1" applyBorder="1" applyAlignment="1">
      <alignment horizontal="center"/>
    </xf>
    <xf numFmtId="164" fontId="18" fillId="5" borderId="0" xfId="1" applyNumberFormat="1" applyFont="1" applyFill="1" applyBorder="1" applyAlignment="1" applyProtection="1">
      <alignment horizontal="right"/>
    </xf>
    <xf numFmtId="164" fontId="16" fillId="6" borderId="5" xfId="1" applyNumberFormat="1" applyFont="1" applyFill="1" applyBorder="1" applyAlignment="1" applyProtection="1">
      <alignment horizontal="right"/>
    </xf>
    <xf numFmtId="44" fontId="16" fillId="6" borderId="5" xfId="1" applyFont="1" applyFill="1" applyBorder="1" applyAlignment="1" applyProtection="1">
      <alignment horizontal="right"/>
    </xf>
    <xf numFmtId="164" fontId="18" fillId="7" borderId="0" xfId="1" applyNumberFormat="1" applyFont="1" applyFill="1" applyBorder="1" applyAlignment="1" applyProtection="1">
      <alignment horizontal="right"/>
    </xf>
    <xf numFmtId="44" fontId="18" fillId="7" borderId="0" xfId="1" applyFont="1" applyFill="1" applyBorder="1" applyAlignment="1" applyProtection="1">
      <alignment horizontal="right"/>
    </xf>
    <xf numFmtId="164" fontId="18" fillId="8" borderId="5" xfId="1" applyNumberFormat="1" applyFont="1" applyFill="1" applyBorder="1" applyAlignment="1" applyProtection="1">
      <alignment horizontal="right"/>
    </xf>
    <xf numFmtId="44" fontId="18" fillId="8" borderId="5" xfId="1" applyFont="1" applyFill="1" applyBorder="1" applyAlignment="1" applyProtection="1">
      <alignment horizontal="right"/>
    </xf>
    <xf numFmtId="5" fontId="16" fillId="9" borderId="6" xfId="1" applyNumberFormat="1" applyFont="1" applyFill="1" applyBorder="1" applyAlignment="1" applyProtection="1">
      <alignment horizontal="right"/>
    </xf>
    <xf numFmtId="7" fontId="16" fillId="9" borderId="6" xfId="1" applyNumberFormat="1" applyFont="1" applyFill="1" applyBorder="1" applyAlignment="1" applyProtection="1">
      <alignment horizontal="right"/>
    </xf>
    <xf numFmtId="164" fontId="18" fillId="10" borderId="0" xfId="1" applyNumberFormat="1" applyFont="1" applyFill="1" applyBorder="1" applyAlignment="1" applyProtection="1">
      <alignment horizontal="right"/>
    </xf>
    <xf numFmtId="44" fontId="18" fillId="10" borderId="0" xfId="1" applyFont="1" applyFill="1" applyBorder="1" applyAlignment="1" applyProtection="1">
      <alignment horizontal="right"/>
    </xf>
    <xf numFmtId="164" fontId="18" fillId="11" borderId="5" xfId="1" applyNumberFormat="1" applyFont="1" applyFill="1" applyBorder="1" applyAlignment="1" applyProtection="1">
      <alignment horizontal="right"/>
    </xf>
    <xf numFmtId="44" fontId="18" fillId="11" borderId="5" xfId="1" applyFont="1" applyFill="1" applyBorder="1" applyAlignment="1" applyProtection="1">
      <alignment horizontal="right"/>
    </xf>
    <xf numFmtId="164" fontId="18" fillId="12" borderId="0" xfId="1" applyNumberFormat="1" applyFont="1" applyFill="1" applyBorder="1" applyAlignment="1" applyProtection="1">
      <alignment horizontal="right"/>
    </xf>
    <xf numFmtId="164" fontId="16" fillId="13" borderId="5" xfId="1" applyNumberFormat="1" applyFont="1" applyFill="1" applyBorder="1" applyAlignment="1" applyProtection="1">
      <alignment horizontal="right"/>
    </xf>
    <xf numFmtId="0" fontId="18" fillId="9" borderId="3" xfId="1" applyNumberFormat="1" applyFont="1" applyFill="1" applyBorder="1" applyAlignment="1" applyProtection="1">
      <alignment horizontal="center"/>
    </xf>
    <xf numFmtId="168" fontId="18" fillId="0" borderId="3" xfId="1" applyNumberFormat="1" applyFont="1" applyFill="1" applyBorder="1" applyAlignment="1" applyProtection="1">
      <alignment horizontal="center"/>
    </xf>
    <xf numFmtId="1" fontId="17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" fontId="18" fillId="9" borderId="3" xfId="1" applyNumberFormat="1" applyFont="1" applyFill="1" applyBorder="1" applyAlignment="1" applyProtection="1">
      <alignment horizontal="center"/>
    </xf>
    <xf numFmtId="44" fontId="16" fillId="0" borderId="12" xfId="0" applyNumberFormat="1" applyFont="1" applyBorder="1" applyAlignment="1">
      <alignment horizontal="right"/>
    </xf>
    <xf numFmtId="44" fontId="18" fillId="0" borderId="2" xfId="0" applyNumberFormat="1" applyFont="1" applyBorder="1" applyAlignment="1" applyProtection="1">
      <alignment horizontal="center"/>
      <protection locked="0"/>
    </xf>
    <xf numFmtId="0" fontId="16" fillId="0" borderId="12" xfId="0" applyFont="1" applyBorder="1" applyAlignment="1">
      <alignment horizontal="right"/>
    </xf>
    <xf numFmtId="4" fontId="18" fillId="0" borderId="2" xfId="0" applyNumberFormat="1" applyFont="1" applyBorder="1" applyAlignment="1" applyProtection="1">
      <alignment horizontal="center"/>
      <protection locked="0"/>
    </xf>
    <xf numFmtId="7" fontId="18" fillId="0" borderId="3" xfId="1" applyNumberFormat="1" applyFont="1" applyFill="1" applyBorder="1" applyAlignment="1" applyProtection="1">
      <alignment horizontal="center"/>
    </xf>
    <xf numFmtId="169" fontId="18" fillId="0" borderId="1" xfId="3" applyNumberFormat="1" applyFont="1" applyBorder="1" applyAlignment="1">
      <alignment horizontal="center"/>
    </xf>
    <xf numFmtId="164" fontId="16" fillId="9" borderId="6" xfId="1" applyNumberFormat="1" applyFont="1" applyFill="1" applyBorder="1" applyAlignment="1" applyProtection="1">
      <alignment horizontal="right"/>
    </xf>
    <xf numFmtId="0" fontId="16" fillId="0" borderId="13" xfId="0" applyFont="1" applyBorder="1"/>
    <xf numFmtId="0" fontId="18" fillId="9" borderId="11" xfId="0" applyFont="1" applyFill="1" applyBorder="1" applyAlignment="1" applyProtection="1">
      <alignment horizontal="center"/>
      <protection locked="0"/>
    </xf>
    <xf numFmtId="1" fontId="18" fillId="9" borderId="7" xfId="0" applyNumberFormat="1" applyFont="1" applyFill="1" applyBorder="1" applyAlignment="1">
      <alignment horizontal="center"/>
    </xf>
    <xf numFmtId="2" fontId="18" fillId="9" borderId="7" xfId="0" applyNumberFormat="1" applyFont="1" applyFill="1" applyBorder="1" applyAlignment="1">
      <alignment horizontal="center"/>
    </xf>
    <xf numFmtId="0" fontId="18" fillId="9" borderId="7" xfId="0" applyFont="1" applyFill="1" applyBorder="1" applyAlignment="1" applyProtection="1">
      <alignment horizontal="center"/>
      <protection locked="0"/>
    </xf>
    <xf numFmtId="165" fontId="18" fillId="9" borderId="1" xfId="0" applyNumberFormat="1" applyFont="1" applyFill="1" applyBorder="1" applyAlignment="1">
      <alignment horizontal="center"/>
    </xf>
    <xf numFmtId="4" fontId="18" fillId="9" borderId="7" xfId="0" applyNumberFormat="1" applyFont="1" applyFill="1" applyBorder="1" applyAlignment="1" applyProtection="1">
      <alignment horizontal="center"/>
      <protection locked="0"/>
    </xf>
    <xf numFmtId="164" fontId="18" fillId="9" borderId="1" xfId="0" applyNumberFormat="1" applyFont="1" applyFill="1" applyBorder="1" applyAlignment="1">
      <alignment horizontal="center"/>
    </xf>
    <xf numFmtId="3" fontId="18" fillId="9" borderId="7" xfId="0" applyNumberFormat="1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18" fillId="9" borderId="1" xfId="0" applyFont="1" applyFill="1" applyBorder="1" applyAlignment="1" applyProtection="1">
      <alignment horizontal="center"/>
      <protection locked="0"/>
    </xf>
    <xf numFmtId="3" fontId="18" fillId="9" borderId="1" xfId="0" applyNumberFormat="1" applyFont="1" applyFill="1" applyBorder="1" applyAlignment="1" applyProtection="1">
      <alignment horizontal="center"/>
      <protection locked="0"/>
    </xf>
    <xf numFmtId="1" fontId="18" fillId="9" borderId="1" xfId="0" applyNumberFormat="1" applyFont="1" applyFill="1" applyBorder="1" applyAlignment="1" applyProtection="1">
      <alignment horizontal="center"/>
      <protection locked="0"/>
    </xf>
    <xf numFmtId="165" fontId="18" fillId="9" borderId="4" xfId="0" applyNumberFormat="1" applyFont="1" applyFill="1" applyBorder="1" applyAlignment="1">
      <alignment horizontal="center"/>
    </xf>
    <xf numFmtId="169" fontId="18" fillId="9" borderId="1" xfId="3" applyNumberFormat="1" applyFont="1" applyFill="1" applyBorder="1" applyAlignment="1">
      <alignment horizontal="center"/>
    </xf>
    <xf numFmtId="169" fontId="18" fillId="0" borderId="1" xfId="3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169" fontId="18" fillId="9" borderId="8" xfId="3" applyNumberFormat="1" applyFont="1" applyFill="1" applyBorder="1" applyAlignment="1">
      <alignment horizontal="center"/>
    </xf>
    <xf numFmtId="2" fontId="18" fillId="0" borderId="3" xfId="1" applyNumberFormat="1" applyFont="1" applyFill="1" applyBorder="1" applyAlignment="1" applyProtection="1">
      <alignment horizontal="center"/>
    </xf>
    <xf numFmtId="7" fontId="18" fillId="0" borderId="3" xfId="1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14" fillId="4" borderId="0" xfId="0" applyFont="1" applyFill="1" applyAlignment="1">
      <alignment horizontal="center" wrapText="1"/>
    </xf>
    <xf numFmtId="0" fontId="9" fillId="0" borderId="0" xfId="0" applyFont="1"/>
  </cellXfs>
  <cellStyles count="4">
    <cellStyle name="Normal" xfId="0" builtinId="0"/>
    <cellStyle name="Procent" xfId="2" builtinId="5"/>
    <cellStyle name="Tusental" xfId="3" builtinId="3"/>
    <cellStyle name="Valuta" xfId="1" builtinId="4"/>
  </cellStyles>
  <dxfs count="0"/>
  <tableStyles count="0" defaultTableStyle="TableStyleMedium9" defaultPivotStyle="PivotStyleLight16"/>
  <colors>
    <mruColors>
      <color rgb="FFEBECED"/>
      <color rgb="FFFFCC10"/>
      <color rgb="FFCF2C35"/>
      <color rgb="FF648C14"/>
      <color rgb="FFDF8678"/>
      <color rgb="FFF3EDD5"/>
      <color rgb="FFFFE666"/>
      <color rgb="FFFFFBD6"/>
      <color rgb="FF9BD6EF"/>
      <color rgb="FFE8E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ofie Johansson" id="{29F26B06-7CEC-4CC2-A434-412637AB43C3}" userId="S::sofie.johansson@gardochdjurhalsan.se::93179014-3d90-46f6-9384-24368c111c58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4" dT="2023-12-11T09:05:52.33" personId="{29F26B06-7CEC-4CC2-A434-412637AB43C3}" id="{152D7F79-BCDE-4674-88DE-5C188296B0FB}">
    <text xml:space="preserve">Gårdsstödet är 143,51 euro per hektar för 2023. </text>
  </threadedComment>
  <threadedComment ref="E55" dT="2023-12-11T09:22:52.68" personId="{29F26B06-7CEC-4CC2-A434-412637AB43C3}" id="{9B04C169-86B7-4575-9E7C-4729B31890CE}">
    <text>Olika belopp beroende på område. Läs mer på https://jordbruksverket.se/stod/jordbruk-tradgard-och-rennaring/jordbruksmark/kompensationsstod</text>
    <extLst>
      <x:ext xmlns:xltc2="http://schemas.microsoft.com/office/spreadsheetml/2020/threadedcomments2" uri="{F7C98A9C-CBB3-438F-8F68-D28B6AF4A901}">
        <xltc2:checksum>2957606451</xltc2:checksum>
        <xltc2:hyperlink startIndex="44" length="95" url="https://jordbruksverket.se/stod/jordbruk-tradgard-och-rennaring/jordbruksmark/kompensationsstod"/>
      </x:ext>
    </extLst>
  </threadedComment>
  <threadedComment ref="E56" dT="2023-12-11T09:23:33.74" personId="{29F26B06-7CEC-4CC2-A434-412637AB43C3}" id="{D918983F-2D90-4505-AC93-A7DEF7B00B3C}">
    <text>Ersättningen är 1 850 kr/ha för 2023</text>
  </threadedComment>
  <threadedComment ref="E57" dT="2023-12-11T09:23:11.28" personId="{29F26B06-7CEC-4CC2-A434-412637AB43C3}" id="{DBEE4D0F-18AF-460B-834A-846DB6BE94FF}">
    <text>Ersättningen är 3 950 kr/ha för 2023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54" dT="2023-12-11T09:05:52.33" personId="{29F26B06-7CEC-4CC2-A434-412637AB43C3}" id="{11B45550-57DF-4E3B-969F-7111ADB91FC6}">
    <text xml:space="preserve">Gårdsstödet är 143,51 euro per hektar för 2023. </text>
  </threadedComment>
  <threadedComment ref="E55" dT="2023-12-11T09:27:24.07" personId="{29F26B06-7CEC-4CC2-A434-412637AB43C3}" id="{C1E03EC1-3A4A-46DF-B435-E1EE2780608C}">
    <text>Olika belopp beroende på område. Läs mer på https://jordbruksverket.se/stod/jordbruk-tradgard-och-rennaring/jordbruksmark/kompensationsstod</text>
    <extLst>
      <x:ext xmlns:xltc2="http://schemas.microsoft.com/office/spreadsheetml/2020/threadedcomments2" uri="{F7C98A9C-CBB3-438F-8F68-D28B6AF4A901}">
        <xltc2:checksum>2957606451</xltc2:checksum>
        <xltc2:hyperlink startIndex="44" length="95" url="https://jordbruksverket.se/stod/jordbruk-tradgard-och-rennaring/jordbruksmark/kompensationsstod"/>
      </x:ext>
    </extLst>
  </threadedComment>
  <threadedComment ref="E56" dT="2023-12-11T09:27:43.00" personId="{29F26B06-7CEC-4CC2-A434-412637AB43C3}" id="{7ED794C6-D197-40CE-B51E-22BF9A0B6AB6}">
    <text>Ersättningen är 1 850 kr/ha för 2023</text>
  </threadedComment>
  <threadedComment ref="E57" dT="2023-12-11T09:28:06.43" personId="{29F26B06-7CEC-4CC2-A434-412637AB43C3}" id="{C951B270-6B9D-4377-99EC-A959236E3CED}">
    <text>Ersättningen är 3 950 kr/ha för 2023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53" dT="2023-12-11T09:05:52.33" personId="{29F26B06-7CEC-4CC2-A434-412637AB43C3}" id="{FA9B85A6-F4C4-4CE0-BB9B-7D37CD0582DB}">
    <text xml:space="preserve">Gårdsstödet är 143,51 euro per hektar för 2023. </text>
  </threadedComment>
  <threadedComment ref="E54" dT="2023-12-11T09:27:29.33" personId="{29F26B06-7CEC-4CC2-A434-412637AB43C3}" id="{6E2E2CE9-E5FB-466A-8DC8-820D3CF1820F}">
    <text>Olika belopp beroende på område. Läs mer på https://jordbruksverket.se/stod/jordbruk-tradgard-och-rennaring/jordbruksmark/kompensationsstod</text>
    <extLst>
      <x:ext xmlns:xltc2="http://schemas.microsoft.com/office/spreadsheetml/2020/threadedcomments2" uri="{F7C98A9C-CBB3-438F-8F68-D28B6AF4A901}">
        <xltc2:checksum>2957606451</xltc2:checksum>
        <xltc2:hyperlink startIndex="44" length="95" url="https://jordbruksverket.se/stod/jordbruk-tradgard-och-rennaring/jordbruksmark/kompensationsstod"/>
      </x:ext>
    </extLst>
  </threadedComment>
  <threadedComment ref="E55" dT="2023-12-11T09:27:49.33" personId="{29F26B06-7CEC-4CC2-A434-412637AB43C3}" id="{6BE0F31E-B7BE-4860-83B9-79B3FFFA8F13}">
    <text>Ersättningen är 1 850 kr/ha för 2023</text>
  </threadedComment>
  <threadedComment ref="E56" dT="2023-12-11T09:28:12.94" personId="{29F26B06-7CEC-4CC2-A434-412637AB43C3}" id="{DACB5E6A-EEC3-4BF6-A647-81F1EFD71609}">
    <text>Ersättningen är 3 950 kr/ha för 2023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59573-E910-4985-9C7E-3326DDD3BEAD}">
  <sheetPr>
    <tabColor rgb="FF648C14"/>
    <pageSetUpPr fitToPage="1"/>
  </sheetPr>
  <dimension ref="A3:AF286"/>
  <sheetViews>
    <sheetView showGridLines="0" tabSelected="1" zoomScaleNormal="100" workbookViewId="0">
      <selection activeCell="F6" sqref="F6"/>
    </sheetView>
  </sheetViews>
  <sheetFormatPr defaultColWidth="9.109375" defaultRowHeight="13.8"/>
  <cols>
    <col min="1" max="1" width="14" style="5" customWidth="1"/>
    <col min="2" max="2" width="33.33203125" style="5" customWidth="1"/>
    <col min="3" max="3" width="7.6640625" style="9" bestFit="1" customWidth="1"/>
    <col min="4" max="4" width="10.6640625" style="9" customWidth="1"/>
    <col min="5" max="5" width="9.33203125" style="9" customWidth="1"/>
    <col min="6" max="6" width="12.44140625" style="10" customWidth="1"/>
    <col min="7" max="7" width="11" style="76" customWidth="1"/>
    <col min="8" max="8" width="9.88671875" style="5" customWidth="1"/>
    <col min="9" max="9" width="8.44140625" style="5" customWidth="1"/>
    <col min="10" max="16384" width="9.109375" style="5"/>
  </cols>
  <sheetData>
    <row r="3" spans="1:32" s="8" customFormat="1" ht="15.6">
      <c r="A3" s="129" t="s">
        <v>71</v>
      </c>
      <c r="B3" s="129"/>
      <c r="C3" s="129"/>
      <c r="D3" s="129"/>
      <c r="E3" s="129"/>
      <c r="F3" s="129"/>
      <c r="G3" s="75"/>
    </row>
    <row r="4" spans="1:32" s="8" customFormat="1" ht="15.6">
      <c r="A4" s="21"/>
      <c r="C4" s="56"/>
      <c r="G4" s="7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4">
      <c r="B5" s="22" t="s">
        <v>64</v>
      </c>
      <c r="C5" s="127">
        <v>11.532500000000001</v>
      </c>
      <c r="D5" s="73"/>
      <c r="E5" s="71" t="s">
        <v>65</v>
      </c>
      <c r="F5" s="72">
        <f>((F20+F21+F23+F24+F25+F26+F27+F28+F29+F32+F33+F34+F35+F43+F44+F45))/2</f>
        <v>8578.6440000000002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4.4">
      <c r="B6" s="22" t="s">
        <v>70</v>
      </c>
      <c r="C6" s="99">
        <v>3</v>
      </c>
      <c r="D6" s="22" t="s">
        <v>1</v>
      </c>
      <c r="E6" s="71"/>
      <c r="F6" s="7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4.4">
      <c r="B7" s="22" t="s">
        <v>0</v>
      </c>
      <c r="C7" s="23">
        <v>18</v>
      </c>
      <c r="D7" s="22" t="s">
        <v>1</v>
      </c>
      <c r="E7" s="130"/>
      <c r="F7" s="13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4.4">
      <c r="B8" s="22" t="s">
        <v>2</v>
      </c>
      <c r="C8" s="101">
        <f>C7-C6</f>
        <v>15</v>
      </c>
      <c r="D8" s="22" t="s">
        <v>1</v>
      </c>
      <c r="E8" s="130"/>
      <c r="F8" s="13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4.4">
      <c r="B9" s="24" t="s">
        <v>3</v>
      </c>
      <c r="C9" s="100">
        <v>325</v>
      </c>
      <c r="D9" s="24" t="s">
        <v>4</v>
      </c>
      <c r="E9" s="4"/>
      <c r="F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s="16" customFormat="1" ht="13.2">
      <c r="B10" s="20"/>
      <c r="C10" s="15"/>
      <c r="E10" s="15"/>
      <c r="F10" s="19"/>
      <c r="G10" s="77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</row>
    <row r="11" spans="1:32" ht="15" thickBot="1">
      <c r="A11" s="26"/>
      <c r="B11" s="27"/>
      <c r="C11" s="28" t="s">
        <v>5</v>
      </c>
      <c r="D11" s="28" t="s">
        <v>6</v>
      </c>
      <c r="E11" s="28" t="s">
        <v>7</v>
      </c>
      <c r="F11" s="29" t="s">
        <v>8</v>
      </c>
      <c r="G11" s="78" t="s">
        <v>63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4.4">
      <c r="A12" s="35" t="s">
        <v>9</v>
      </c>
      <c r="B12" s="67" t="s">
        <v>10</v>
      </c>
      <c r="C12" s="66" t="s">
        <v>4</v>
      </c>
      <c r="D12" s="110">
        <f>C9</f>
        <v>325</v>
      </c>
      <c r="E12" s="65">
        <v>55</v>
      </c>
      <c r="F12" s="82">
        <f>PRODUCT(D12*E12)</f>
        <v>17875</v>
      </c>
      <c r="G12" s="82">
        <f>F12/$C$9</f>
        <v>55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4.4">
      <c r="A13" s="30"/>
      <c r="B13" s="42" t="s">
        <v>53</v>
      </c>
      <c r="C13" s="40"/>
      <c r="D13" s="111">
        <f>D12</f>
        <v>325</v>
      </c>
      <c r="E13" s="44"/>
      <c r="F13" s="82">
        <f>PRODUCT(D13*E13)</f>
        <v>0</v>
      </c>
      <c r="G13" s="82">
        <f t="shared" ref="G13:G50" si="0">F13/$C$9</f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4.4">
      <c r="A14" s="35" t="s">
        <v>50</v>
      </c>
      <c r="B14" s="42" t="s">
        <v>58</v>
      </c>
      <c r="C14" s="40"/>
      <c r="D14" s="112">
        <f>(C7-12)/12</f>
        <v>0.5</v>
      </c>
      <c r="E14" s="117">
        <f>96*C5</f>
        <v>1107.1200000000001</v>
      </c>
      <c r="F14" s="82">
        <f>D14*E14</f>
        <v>553.56000000000006</v>
      </c>
      <c r="G14" s="82">
        <f t="shared" si="0"/>
        <v>1.7032615384615386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4.4">
      <c r="B15" s="42" t="s">
        <v>51</v>
      </c>
      <c r="C15" s="40"/>
      <c r="D15" s="112">
        <f>1/1.65*C8/12</f>
        <v>0.75757575757575768</v>
      </c>
      <c r="E15" s="64"/>
      <c r="F15" s="82">
        <f>D15*E15</f>
        <v>0</v>
      </c>
      <c r="G15" s="82">
        <f>F15/$C$9</f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7" customFormat="1" ht="15" thickBot="1">
      <c r="A16" s="26" t="s">
        <v>11</v>
      </c>
      <c r="B16" s="27"/>
      <c r="C16" s="63"/>
      <c r="D16" s="63"/>
      <c r="E16" s="63"/>
      <c r="F16" s="83">
        <f>SUM(F12:F14)</f>
        <v>18428.560000000001</v>
      </c>
      <c r="G16" s="84">
        <f t="shared" si="0"/>
        <v>56.70326153846154</v>
      </c>
    </row>
    <row r="17" spans="1:32" s="16" customFormat="1" ht="14.4">
      <c r="C17" s="15"/>
      <c r="D17" s="15"/>
      <c r="E17" s="15"/>
      <c r="F17" s="17"/>
      <c r="G17" s="80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32" s="16" customFormat="1" ht="14.4">
      <c r="B18" s="15"/>
      <c r="C18" s="15"/>
      <c r="D18" s="15"/>
      <c r="E18" s="15"/>
      <c r="F18" s="17"/>
      <c r="G18" s="10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</row>
    <row r="19" spans="1:32" ht="15" thickBot="1">
      <c r="A19" s="26" t="s">
        <v>34</v>
      </c>
      <c r="B19" s="57"/>
      <c r="C19" s="28" t="s">
        <v>5</v>
      </c>
      <c r="D19" s="28" t="s">
        <v>6</v>
      </c>
      <c r="E19" s="28" t="s">
        <v>7</v>
      </c>
      <c r="F19" s="29" t="s">
        <v>8</v>
      </c>
      <c r="G19" s="102" t="s">
        <v>63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4.4">
      <c r="A20" s="35" t="s">
        <v>12</v>
      </c>
      <c r="B20" s="37" t="s">
        <v>55</v>
      </c>
      <c r="C20" s="31" t="s">
        <v>4</v>
      </c>
      <c r="D20" s="32">
        <v>100</v>
      </c>
      <c r="E20" s="33">
        <v>32</v>
      </c>
      <c r="F20" s="85">
        <f>PRODUCT(D20*E20)</f>
        <v>3200</v>
      </c>
      <c r="G20" s="86">
        <f t="shared" si="0"/>
        <v>9.8461538461538467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4.4">
      <c r="A21" s="35"/>
      <c r="B21" s="37" t="s">
        <v>13</v>
      </c>
      <c r="C21" s="31" t="s">
        <v>14</v>
      </c>
      <c r="D21" s="32">
        <v>1</v>
      </c>
      <c r="E21" s="33">
        <v>250</v>
      </c>
      <c r="F21" s="85">
        <f>(D21*E21)</f>
        <v>250</v>
      </c>
      <c r="G21" s="86">
        <f t="shared" si="0"/>
        <v>0.76923076923076927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4.4">
      <c r="A22" s="35"/>
      <c r="B22" s="37" t="s">
        <v>66</v>
      </c>
      <c r="C22" s="31"/>
      <c r="D22" s="74">
        <v>0.08</v>
      </c>
      <c r="E22" s="120">
        <f>F5</f>
        <v>8578.6440000000002</v>
      </c>
      <c r="F22" s="85">
        <f>D22*E22</f>
        <v>686.29151999999999</v>
      </c>
      <c r="G22" s="86">
        <f t="shared" si="0"/>
        <v>2.1116662153846155</v>
      </c>
      <c r="H22" s="7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4.4">
      <c r="A23" s="35" t="s">
        <v>15</v>
      </c>
      <c r="B23" s="37" t="s">
        <v>60</v>
      </c>
      <c r="C23" s="31" t="s">
        <v>16</v>
      </c>
      <c r="D23" s="32">
        <v>570</v>
      </c>
      <c r="E23" s="39">
        <v>1.9</v>
      </c>
      <c r="F23" s="85">
        <f t="shared" ref="F23" si="1">PRODUCT(D23*E23)</f>
        <v>1083</v>
      </c>
      <c r="G23" s="86">
        <f t="shared" si="0"/>
        <v>3.3323076923076922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4">
      <c r="A24" s="35"/>
      <c r="B24" s="41" t="s">
        <v>61</v>
      </c>
      <c r="C24" s="31" t="s">
        <v>16</v>
      </c>
      <c r="D24" s="38">
        <v>1330</v>
      </c>
      <c r="E24" s="39">
        <v>1.7</v>
      </c>
      <c r="F24" s="85">
        <f t="shared" ref="F24:F34" si="2">PRODUCT(D24*E24)</f>
        <v>2261</v>
      </c>
      <c r="G24" s="86">
        <f t="shared" si="0"/>
        <v>6.9569230769230765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4.4">
      <c r="A25" s="35"/>
      <c r="B25" s="41" t="s">
        <v>30</v>
      </c>
      <c r="C25" s="31" t="s">
        <v>16</v>
      </c>
      <c r="D25" s="38"/>
      <c r="E25" s="39"/>
      <c r="F25" s="85">
        <f t="shared" si="2"/>
        <v>0</v>
      </c>
      <c r="G25" s="86">
        <f t="shared" si="0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4.4">
      <c r="A26" s="35"/>
      <c r="B26" s="41" t="s">
        <v>17</v>
      </c>
      <c r="C26" s="31" t="s">
        <v>4</v>
      </c>
      <c r="D26" s="38">
        <v>1500</v>
      </c>
      <c r="E26" s="39">
        <v>2.12</v>
      </c>
      <c r="F26" s="85">
        <f t="shared" si="2"/>
        <v>3180</v>
      </c>
      <c r="G26" s="86">
        <f t="shared" si="0"/>
        <v>9.7846153846153854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4.4">
      <c r="A27" s="35"/>
      <c r="B27" s="41" t="s">
        <v>57</v>
      </c>
      <c r="C27" s="31" t="s">
        <v>4</v>
      </c>
      <c r="D27" s="113">
        <f>0.04*150</f>
        <v>6</v>
      </c>
      <c r="E27" s="39">
        <v>13.5</v>
      </c>
      <c r="F27" s="85">
        <f t="shared" si="2"/>
        <v>81</v>
      </c>
      <c r="G27" s="86">
        <f t="shared" si="0"/>
        <v>0.24923076923076923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4.4">
      <c r="A28" s="35"/>
      <c r="B28" s="41" t="s">
        <v>54</v>
      </c>
      <c r="C28" s="31" t="s">
        <v>18</v>
      </c>
      <c r="D28" s="32">
        <v>150</v>
      </c>
      <c r="E28" s="39">
        <v>4.2</v>
      </c>
      <c r="F28" s="85">
        <f t="shared" si="2"/>
        <v>630</v>
      </c>
      <c r="G28" s="86">
        <f t="shared" si="0"/>
        <v>1.9384615384615385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4.4">
      <c r="A29" s="30"/>
      <c r="B29" s="42" t="s">
        <v>19</v>
      </c>
      <c r="C29" s="31" t="s">
        <v>18</v>
      </c>
      <c r="D29" s="114">
        <f>(C8*30.4)*0.07</f>
        <v>31.92</v>
      </c>
      <c r="E29" s="45">
        <v>7.65</v>
      </c>
      <c r="F29" s="85">
        <f t="shared" si="2"/>
        <v>244.18800000000002</v>
      </c>
      <c r="G29" s="86">
        <f t="shared" si="0"/>
        <v>0.75134769230769238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4.4">
      <c r="A30" s="30"/>
      <c r="B30" s="42" t="s">
        <v>68</v>
      </c>
      <c r="C30" s="31" t="s">
        <v>18</v>
      </c>
      <c r="D30" s="114">
        <f>0.05*(C8*30.4)</f>
        <v>22.8</v>
      </c>
      <c r="E30" s="45">
        <v>2.9</v>
      </c>
      <c r="F30" s="85">
        <f t="shared" si="2"/>
        <v>66.12</v>
      </c>
      <c r="G30" s="86">
        <f t="shared" si="0"/>
        <v>0.20344615384615386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4.4">
      <c r="A31" s="35" t="s">
        <v>69</v>
      </c>
      <c r="B31" s="42"/>
      <c r="C31" s="31" t="s">
        <v>28</v>
      </c>
      <c r="D31" s="114">
        <f>0.002*(C8*30.4)</f>
        <v>0.91200000000000003</v>
      </c>
      <c r="E31" s="64">
        <v>1300</v>
      </c>
      <c r="F31" s="85">
        <f t="shared" si="2"/>
        <v>1185.6000000000001</v>
      </c>
      <c r="G31" s="86">
        <f t="shared" si="0"/>
        <v>3.6480000000000006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s="4" customFormat="1" ht="14.4">
      <c r="A32" s="35" t="s">
        <v>21</v>
      </c>
      <c r="B32" s="41" t="s">
        <v>20</v>
      </c>
      <c r="C32" s="31" t="s">
        <v>4</v>
      </c>
      <c r="D32" s="119">
        <f>C8*30.4*3.5</f>
        <v>1596</v>
      </c>
      <c r="E32" s="39">
        <v>1.2</v>
      </c>
      <c r="F32" s="85">
        <f t="shared" si="2"/>
        <v>1915.1999999999998</v>
      </c>
      <c r="G32" s="86">
        <f t="shared" si="0"/>
        <v>5.8929230769230765</v>
      </c>
    </row>
    <row r="33" spans="1:32" ht="14.4">
      <c r="A33" s="35"/>
      <c r="B33" s="42" t="s">
        <v>56</v>
      </c>
      <c r="C33" s="31" t="s">
        <v>14</v>
      </c>
      <c r="D33" s="31">
        <v>1</v>
      </c>
      <c r="E33" s="64">
        <v>68</v>
      </c>
      <c r="F33" s="85">
        <f t="shared" si="2"/>
        <v>68</v>
      </c>
      <c r="G33" s="86">
        <f t="shared" si="0"/>
        <v>0.20923076923076922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4.4">
      <c r="B34" s="37" t="s">
        <v>22</v>
      </c>
      <c r="C34" s="31" t="s">
        <v>14</v>
      </c>
      <c r="D34" s="32">
        <v>1</v>
      </c>
      <c r="E34" s="44">
        <v>30</v>
      </c>
      <c r="F34" s="85">
        <f t="shared" si="2"/>
        <v>30</v>
      </c>
      <c r="G34" s="86">
        <f t="shared" si="0"/>
        <v>9.2307692307692313E-2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4.4">
      <c r="A35" s="35" t="s">
        <v>27</v>
      </c>
      <c r="B35" s="6"/>
      <c r="C35" s="31" t="s">
        <v>28</v>
      </c>
      <c r="D35" s="115">
        <f>(C8*30.4*0.33)/60</f>
        <v>2.5080000000000005</v>
      </c>
      <c r="E35" s="44">
        <v>300</v>
      </c>
      <c r="F35" s="85">
        <f>D35*E35</f>
        <v>752.40000000000009</v>
      </c>
      <c r="G35" s="86">
        <f t="shared" si="0"/>
        <v>2.3150769230769233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5" thickBot="1">
      <c r="A36" s="26" t="s">
        <v>33</v>
      </c>
      <c r="B36" s="46"/>
      <c r="C36" s="47"/>
      <c r="D36" s="48"/>
      <c r="E36" s="49"/>
      <c r="F36" s="87">
        <f>SUM(F19:F35)</f>
        <v>15632.799519999999</v>
      </c>
      <c r="G36" s="88">
        <f t="shared" si="0"/>
        <v>48.100921599999992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4.4">
      <c r="F37" s="59"/>
      <c r="G37" s="80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s="7" customFormat="1" ht="15" thickBot="1">
      <c r="A38" s="109" t="s">
        <v>36</v>
      </c>
      <c r="B38" s="27"/>
      <c r="C38" s="36"/>
      <c r="D38" s="36"/>
      <c r="E38" s="61"/>
      <c r="F38" s="89">
        <f>F16-F36</f>
        <v>2795.7604800000026</v>
      </c>
      <c r="G38" s="90">
        <f t="shared" si="0"/>
        <v>8.6023399384615473</v>
      </c>
    </row>
    <row r="39" spans="1:32" s="16" customFormat="1" ht="14.4">
      <c r="B39" s="54"/>
      <c r="C39" s="15"/>
      <c r="D39" s="15"/>
      <c r="E39" s="15"/>
      <c r="F39" s="18"/>
      <c r="G39" s="80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</row>
    <row r="40" spans="1:32" s="16" customFormat="1" ht="14.4">
      <c r="C40" s="15"/>
      <c r="D40" s="15"/>
      <c r="E40" s="15"/>
      <c r="F40" s="18"/>
      <c r="G40" s="80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</row>
    <row r="41" spans="1:32" ht="15" thickBot="1">
      <c r="A41" s="26" t="s">
        <v>35</v>
      </c>
      <c r="B41" s="27"/>
      <c r="C41" s="28" t="s">
        <v>5</v>
      </c>
      <c r="D41" s="28" t="s">
        <v>6</v>
      </c>
      <c r="E41" s="28" t="s">
        <v>7</v>
      </c>
      <c r="F41" s="29" t="s">
        <v>8</v>
      </c>
      <c r="G41" s="78" t="s">
        <v>63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4.4" hidden="1">
      <c r="B42" s="5" t="s">
        <v>52</v>
      </c>
      <c r="C42" s="11"/>
      <c r="D42" s="14"/>
      <c r="E42" s="14"/>
      <c r="F42" s="12">
        <f>PRODUCT(D42*E42)</f>
        <v>0</v>
      </c>
      <c r="G42" s="79">
        <f t="shared" si="0"/>
        <v>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4.4">
      <c r="A43" s="35" t="s">
        <v>26</v>
      </c>
      <c r="B43" s="30" t="s">
        <v>31</v>
      </c>
      <c r="C43" s="31" t="s">
        <v>32</v>
      </c>
      <c r="D43" s="32">
        <v>15</v>
      </c>
      <c r="E43" s="34">
        <v>27000</v>
      </c>
      <c r="F43" s="91">
        <f>(E43/D43)*(C8/12)</f>
        <v>2250</v>
      </c>
      <c r="G43" s="92">
        <f t="shared" si="0"/>
        <v>6.9230769230769234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4.4">
      <c r="B44" s="30" t="s">
        <v>62</v>
      </c>
      <c r="C44" s="31"/>
      <c r="D44" s="50">
        <v>0.06</v>
      </c>
      <c r="E44" s="34">
        <v>27000</v>
      </c>
      <c r="F44" s="91">
        <f>((E44/2)*D44)*(C8/12)</f>
        <v>1012.5</v>
      </c>
      <c r="G44" s="92">
        <f t="shared" si="0"/>
        <v>3.1153846153846154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4.4">
      <c r="B45" s="30" t="s">
        <v>23</v>
      </c>
      <c r="C45" s="31" t="s">
        <v>14</v>
      </c>
      <c r="D45" s="32">
        <v>1</v>
      </c>
      <c r="E45" s="34">
        <v>200</v>
      </c>
      <c r="F45" s="91">
        <f>PRODUCT(D45*E45)</f>
        <v>200</v>
      </c>
      <c r="G45" s="92">
        <f t="shared" si="0"/>
        <v>0.61538461538461542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4.4">
      <c r="B46" s="30" t="s">
        <v>24</v>
      </c>
      <c r="C46" s="114">
        <f>0.55*C47</f>
        <v>0.6875</v>
      </c>
      <c r="D46" s="116">
        <f>SUM(F23:F34,F42:F45,F35)</f>
        <v>14959.008</v>
      </c>
      <c r="E46" s="52">
        <v>0.06</v>
      </c>
      <c r="F46" s="91">
        <f>E46*(D46*C46)</f>
        <v>617.05907999999988</v>
      </c>
      <c r="G46" s="92">
        <f t="shared" si="0"/>
        <v>1.8986433230769226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4.4">
      <c r="B47" s="30" t="s">
        <v>25</v>
      </c>
      <c r="C47" s="122">
        <f>C8/12</f>
        <v>1.25</v>
      </c>
      <c r="D47" s="116">
        <f>F20+F21+F22</f>
        <v>4136.2915199999998</v>
      </c>
      <c r="E47" s="52">
        <v>0.06</v>
      </c>
      <c r="F47" s="91">
        <f>E47*(D47*C47)</f>
        <v>310.22186399999998</v>
      </c>
      <c r="G47" s="92">
        <f>F47/$C$9</f>
        <v>0.95452881230769226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s="7" customFormat="1" ht="15" thickBot="1">
      <c r="A48" s="26" t="s">
        <v>37</v>
      </c>
      <c r="B48" s="27"/>
      <c r="C48" s="47"/>
      <c r="D48" s="48"/>
      <c r="E48" s="53"/>
      <c r="F48" s="93">
        <f>SUM(F42:F47)</f>
        <v>4389.7809440000001</v>
      </c>
      <c r="G48" s="94">
        <f t="shared" si="0"/>
        <v>13.50701828923077</v>
      </c>
    </row>
    <row r="49" spans="1:32" s="16" customFormat="1" ht="14.4">
      <c r="A49" s="5"/>
      <c r="B49" s="5"/>
      <c r="C49" s="9"/>
      <c r="D49" s="9"/>
      <c r="E49" s="9"/>
      <c r="F49" s="59"/>
      <c r="G49" s="80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</row>
    <row r="50" spans="1:32" s="16" customFormat="1" ht="15" thickBot="1">
      <c r="A50" s="62" t="s">
        <v>29</v>
      </c>
      <c r="B50" s="27"/>
      <c r="C50" s="36"/>
      <c r="D50" s="36"/>
      <c r="E50" s="36"/>
      <c r="F50" s="89">
        <f>F38-F48</f>
        <v>-1594.0204639999974</v>
      </c>
      <c r="G50" s="90">
        <f t="shared" si="0"/>
        <v>-4.9046783507692231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</row>
    <row r="51" spans="1:32" ht="14.4">
      <c r="A51" s="16"/>
      <c r="B51" s="16"/>
      <c r="C51" s="15"/>
      <c r="D51" s="15"/>
      <c r="E51" s="15"/>
      <c r="F51" s="18"/>
      <c r="G51" s="8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4.4">
      <c r="D52" s="5"/>
      <c r="E52" s="5"/>
      <c r="F52" s="5"/>
      <c r="G52" s="8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5" thickBot="1">
      <c r="A53" s="26" t="s">
        <v>76</v>
      </c>
      <c r="B53" s="27"/>
      <c r="C53" s="28" t="s">
        <v>5</v>
      </c>
      <c r="D53" s="28" t="s">
        <v>6</v>
      </c>
      <c r="E53" s="28" t="s">
        <v>7</v>
      </c>
      <c r="F53" s="29" t="s">
        <v>8</v>
      </c>
      <c r="G53" s="78" t="s">
        <v>63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4.4">
      <c r="A54" s="35"/>
      <c r="B54" s="30" t="s">
        <v>74</v>
      </c>
      <c r="C54" s="31" t="s">
        <v>75</v>
      </c>
      <c r="D54" s="125">
        <v>0</v>
      </c>
      <c r="E54" s="123">
        <f>143.51*C5</f>
        <v>1655.0290749999999</v>
      </c>
      <c r="F54" s="95">
        <f>D54*E54</f>
        <v>0</v>
      </c>
      <c r="G54" s="95">
        <f>F54/$C$9</f>
        <v>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4.4">
      <c r="A55" s="30"/>
      <c r="B55" s="30" t="s">
        <v>59</v>
      </c>
      <c r="C55" s="31" t="s">
        <v>75</v>
      </c>
      <c r="D55" s="32">
        <v>0</v>
      </c>
      <c r="E55" s="124">
        <v>0</v>
      </c>
      <c r="F55" s="95">
        <f>D55*E55</f>
        <v>0</v>
      </c>
      <c r="G55" s="95">
        <f>F55/$C$9</f>
        <v>0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4.4">
      <c r="A56" s="35"/>
      <c r="B56" s="58" t="s">
        <v>40</v>
      </c>
      <c r="C56" s="31" t="s">
        <v>75</v>
      </c>
      <c r="D56" s="32">
        <v>0</v>
      </c>
      <c r="E56" s="107">
        <v>1850</v>
      </c>
      <c r="F56" s="95">
        <f t="shared" ref="F56:F57" si="3">D56*E56</f>
        <v>0</v>
      </c>
      <c r="G56" s="95">
        <f t="shared" ref="G56:G57" si="4">F56/$C$9</f>
        <v>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4.4">
      <c r="A57" s="35"/>
      <c r="B57" s="58" t="s">
        <v>41</v>
      </c>
      <c r="C57" s="31" t="s">
        <v>75</v>
      </c>
      <c r="D57" s="32">
        <v>0</v>
      </c>
      <c r="E57" s="107">
        <v>3950</v>
      </c>
      <c r="F57" s="95">
        <f t="shared" si="3"/>
        <v>0</v>
      </c>
      <c r="G57" s="95">
        <f t="shared" si="4"/>
        <v>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5" thickBot="1">
      <c r="A58" s="62" t="s">
        <v>67</v>
      </c>
      <c r="B58" s="27"/>
      <c r="C58" s="36"/>
      <c r="D58" s="36"/>
      <c r="E58" s="36"/>
      <c r="F58" s="96">
        <f>SUM(F54:F57)</f>
        <v>0</v>
      </c>
      <c r="G58" s="96">
        <f>SUM(G54:G57)</f>
        <v>0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8:32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8:32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8:32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8:32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8:32"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8:32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8:32"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8:32"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8:32"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8:32"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8:32"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8:32"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8:32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8:32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8:32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8:32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8:32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8:32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8:32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8:32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8:32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8:32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8:32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8:32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8:32"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8:32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8:32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8:32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8:32"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8:32"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8:32"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8:32"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8:32"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8:32"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8:32"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8:32"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8:32"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8:32"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8:32"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8:32"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8:32"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8:32"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8:32"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8:32"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8:32"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8:32"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8:32"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8:32"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8:32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8:32"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8:32"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8:32"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8:32"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8:32"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8:32"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8:32"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8:32"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8:32"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8:32"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8:32"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8:32"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8:32"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8:32"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8:32"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8:32"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8:32"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8:32"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8:32"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8:32"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8:32"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8:32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8:32"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8:32"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8:32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8:32"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8:32"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8:32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8:32"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8:32"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8:32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8:32"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8:32"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8:32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8:32"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8:32"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8:32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8:32"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8:32"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8:32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8:32"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8:32"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8:32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8:32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8:32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8:32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8:32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8:32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8:32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8:32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8:32"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8:32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8:32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8:32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8:32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8:32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8:32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8:32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8:32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8:32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8:32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8:32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8:32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8:32"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8:32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8:32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8:32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8:32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8:32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8:32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8:32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8:32"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8:32"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8:32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8:32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8:32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8:32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8:32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8:32"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8:32"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8:32"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8:32"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8:32"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8:32"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8:32"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8:32"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8:32"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8:32"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8:32"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8:32"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8:32"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8:32"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8:32"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8:32"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8:32"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8:32"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8:32"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8:32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8:32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8:32"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8:32"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8:32"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8:32"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8:32"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8:32"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8:32"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8:32"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8:32"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8:32"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8:32"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8:32"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8:32"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8:32"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8:32"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8:32"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8:32"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8:32"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8:32"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8:32"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8:32"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8:32"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8:32"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8:32"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8:32"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8:32"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8:32"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8:32"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8:32"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8:32"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8:32"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8:32"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8:32"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8:32"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8:32"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8:32"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8:32"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8:32"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8:32"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8:32"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8:32"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8:32"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8:32"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8:32"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8:32"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8:32"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8:32"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8:32"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8:32"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8:32"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8:32"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8:32"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8:32"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8:32"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8:32"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8:32"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8:32"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8:32"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8:32"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8:32"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8:32"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8:32"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8:32"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8:32"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8:32"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8:32"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8:32"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8:32"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8:32"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8:32"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8:32"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8:32"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8:32"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8:32"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</sheetData>
  <mergeCells count="2">
    <mergeCell ref="A3:F3"/>
    <mergeCell ref="E7:F8"/>
  </mergeCells>
  <pageMargins left="0.74803149606299213" right="0.74803149606299213" top="0.94488188976377963" bottom="0.74803149606299213" header="0.31496062992125984" footer="0.31496062992125984"/>
  <pageSetup paperSize="9" scale="89" orientation="portrait" r:id="rId1"/>
  <headerFooter alignWithMargins="0">
    <oddHeader>&amp;L&amp;G&amp;R&amp;G</oddHeader>
    <oddFooter>&amp;C&amp;"Myriad Pro,Normal"Gård &amp; Djurhälsan – Växel: 0771-21 65 00 – www.gårdochdjurhälsan.se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58533-4223-459F-8E42-5A8E273CDDA6}">
  <sheetPr>
    <tabColor rgb="FFCF2C35"/>
    <pageSetUpPr fitToPage="1"/>
  </sheetPr>
  <dimension ref="A3:AF286"/>
  <sheetViews>
    <sheetView showGridLines="0" zoomScaleNormal="100" workbookViewId="0">
      <selection activeCell="F5" sqref="F5"/>
    </sheetView>
  </sheetViews>
  <sheetFormatPr defaultColWidth="9.109375" defaultRowHeight="13.8"/>
  <cols>
    <col min="1" max="1" width="12.6640625" style="5" customWidth="1"/>
    <col min="2" max="2" width="33.5546875" style="5" customWidth="1"/>
    <col min="3" max="3" width="7.6640625" style="9" bestFit="1" customWidth="1"/>
    <col min="4" max="4" width="10.6640625" style="9" customWidth="1"/>
    <col min="5" max="5" width="8.109375" style="9" customWidth="1"/>
    <col min="6" max="6" width="12.44140625" style="10" customWidth="1"/>
    <col min="7" max="7" width="11" style="5" customWidth="1"/>
    <col min="8" max="8" width="9.109375" style="5"/>
    <col min="9" max="9" width="8.44140625" style="5" customWidth="1"/>
    <col min="10" max="16384" width="9.109375" style="5"/>
  </cols>
  <sheetData>
    <row r="3" spans="1:32" s="8" customFormat="1" ht="15.6">
      <c r="A3" s="129" t="s">
        <v>72</v>
      </c>
      <c r="B3" s="131"/>
      <c r="C3" s="131"/>
      <c r="D3" s="131"/>
      <c r="E3" s="131"/>
      <c r="F3" s="131"/>
    </row>
    <row r="4" spans="1:32" s="8" customFormat="1" ht="15.6">
      <c r="A4" s="21"/>
      <c r="C4" s="5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4">
      <c r="B5" s="22" t="s">
        <v>64</v>
      </c>
      <c r="C5" s="127">
        <v>11.532500000000001</v>
      </c>
      <c r="D5" s="73"/>
      <c r="E5" s="71" t="s">
        <v>65</v>
      </c>
      <c r="F5" s="72">
        <f>((F20+F21+F23+F24+F25+F26+F27+F28+F29+F32+F33+F34+F35+F43+F44+F45))/2</f>
        <v>10526.470000000001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4.4">
      <c r="B6" s="22" t="s">
        <v>70</v>
      </c>
      <c r="C6" s="99">
        <v>7</v>
      </c>
      <c r="D6" s="25" t="s">
        <v>1</v>
      </c>
      <c r="E6" s="71"/>
      <c r="F6" s="7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4.4">
      <c r="B7" s="22" t="s">
        <v>0</v>
      </c>
      <c r="C7" s="23">
        <v>17</v>
      </c>
      <c r="D7" s="25" t="s">
        <v>1</v>
      </c>
      <c r="E7" s="130"/>
      <c r="F7" s="13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4.4">
      <c r="B8" s="22" t="s">
        <v>2</v>
      </c>
      <c r="C8" s="97">
        <f>C7-C6</f>
        <v>10</v>
      </c>
      <c r="D8" s="106" t="s">
        <v>1</v>
      </c>
      <c r="E8" s="130"/>
      <c r="F8" s="13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4.4">
      <c r="B9" s="24" t="s">
        <v>3</v>
      </c>
      <c r="C9" s="100">
        <v>340</v>
      </c>
      <c r="D9" s="100" t="s">
        <v>4</v>
      </c>
      <c r="E9" s="4"/>
      <c r="F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s="16" customFormat="1" ht="13.2">
      <c r="B10" s="20"/>
      <c r="C10" s="15"/>
      <c r="E10" s="15"/>
      <c r="F10" s="19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</row>
    <row r="11" spans="1:32" ht="15" thickBot="1">
      <c r="A11" s="26"/>
      <c r="B11" s="27"/>
      <c r="C11" s="28" t="s">
        <v>5</v>
      </c>
      <c r="D11" s="28" t="s">
        <v>6</v>
      </c>
      <c r="E11" s="28" t="s">
        <v>7</v>
      </c>
      <c r="F11" s="29" t="s">
        <v>8</v>
      </c>
      <c r="G11" s="29" t="s">
        <v>63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4.4">
      <c r="A12" s="35" t="s">
        <v>9</v>
      </c>
      <c r="B12" s="67" t="s">
        <v>10</v>
      </c>
      <c r="C12" s="66" t="s">
        <v>4</v>
      </c>
      <c r="D12" s="110">
        <f>C9</f>
        <v>340</v>
      </c>
      <c r="E12" s="65">
        <v>56.7</v>
      </c>
      <c r="F12" s="82">
        <f>PRODUCT(D12*E12)</f>
        <v>19278</v>
      </c>
      <c r="G12" s="82">
        <f>F12/$C$9</f>
        <v>56.7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4.4">
      <c r="A13" s="30"/>
      <c r="B13" s="42" t="s">
        <v>53</v>
      </c>
      <c r="C13" s="40"/>
      <c r="D13" s="111">
        <f>D12</f>
        <v>340</v>
      </c>
      <c r="E13" s="44"/>
      <c r="F13" s="82">
        <f>PRODUCT(D13*E13)</f>
        <v>0</v>
      </c>
      <c r="G13" s="82">
        <f t="shared" ref="G13:G57" si="0">F13/$C$9</f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4.4">
      <c r="A14" s="35" t="s">
        <v>50</v>
      </c>
      <c r="B14" s="42" t="s">
        <v>58</v>
      </c>
      <c r="C14" s="40"/>
      <c r="D14" s="112">
        <f>(C7-12)/12</f>
        <v>0.41666666666666669</v>
      </c>
      <c r="E14" s="117">
        <f>96*C5</f>
        <v>1107.1200000000001</v>
      </c>
      <c r="F14" s="82">
        <f>D14*E14</f>
        <v>461.30000000000007</v>
      </c>
      <c r="G14" s="82">
        <f t="shared" si="0"/>
        <v>1.3567647058823531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4.4">
      <c r="B15" s="42" t="s">
        <v>51</v>
      </c>
      <c r="C15" s="40"/>
      <c r="D15" s="112">
        <f>1/1.65*C8/12</f>
        <v>0.50505050505050508</v>
      </c>
      <c r="E15" s="64"/>
      <c r="F15" s="82">
        <f>D15*E15</f>
        <v>0</v>
      </c>
      <c r="G15" s="82">
        <f>F15/$C$9</f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7" customFormat="1" ht="15" thickBot="1">
      <c r="A16" s="26" t="s">
        <v>11</v>
      </c>
      <c r="B16" s="27"/>
      <c r="C16" s="63"/>
      <c r="D16" s="63"/>
      <c r="E16" s="63"/>
      <c r="F16" s="68">
        <f>SUM(F12:F14)</f>
        <v>19739.3</v>
      </c>
      <c r="G16" s="69">
        <f t="shared" si="0"/>
        <v>58.056764705882351</v>
      </c>
    </row>
    <row r="17" spans="1:32" s="16" customFormat="1" ht="14.4">
      <c r="C17" s="15"/>
      <c r="D17" s="15"/>
      <c r="E17" s="15"/>
      <c r="F17" s="17"/>
      <c r="G17" s="60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32" s="16" customFormat="1" ht="14.4">
      <c r="B18" s="15"/>
      <c r="C18" s="15"/>
      <c r="D18" s="15"/>
      <c r="E18" s="15"/>
      <c r="F18" s="17"/>
      <c r="G18" s="105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</row>
    <row r="19" spans="1:32" ht="15" thickBot="1">
      <c r="A19" s="26" t="s">
        <v>34</v>
      </c>
      <c r="B19" s="57"/>
      <c r="C19" s="28" t="s">
        <v>5</v>
      </c>
      <c r="D19" s="28" t="s">
        <v>6</v>
      </c>
      <c r="E19" s="28" t="s">
        <v>7</v>
      </c>
      <c r="F19" s="29" t="s">
        <v>8</v>
      </c>
      <c r="G19" s="104" t="s">
        <v>63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4.4">
      <c r="A20" s="35" t="s">
        <v>12</v>
      </c>
      <c r="B20" s="37" t="s">
        <v>55</v>
      </c>
      <c r="C20" s="31" t="s">
        <v>4</v>
      </c>
      <c r="D20" s="32">
        <v>290</v>
      </c>
      <c r="E20" s="33">
        <v>32</v>
      </c>
      <c r="F20" s="85">
        <f>PRODUCT(D20*E20)</f>
        <v>9280</v>
      </c>
      <c r="G20" s="86">
        <f t="shared" si="0"/>
        <v>27.294117647058822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4.4">
      <c r="A21" s="35"/>
      <c r="B21" s="37" t="s">
        <v>13</v>
      </c>
      <c r="C21" s="31" t="s">
        <v>14</v>
      </c>
      <c r="D21" s="32">
        <v>1</v>
      </c>
      <c r="E21" s="33">
        <v>0</v>
      </c>
      <c r="F21" s="85">
        <f>(D21*E21)</f>
        <v>0</v>
      </c>
      <c r="G21" s="86">
        <f t="shared" si="0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4.4">
      <c r="A22" s="35"/>
      <c r="B22" s="37" t="s">
        <v>66</v>
      </c>
      <c r="C22" s="31"/>
      <c r="D22" s="32">
        <v>0.01</v>
      </c>
      <c r="E22" s="120">
        <f>F5</f>
        <v>10526.470000000001</v>
      </c>
      <c r="F22" s="85">
        <f>D22*E22</f>
        <v>105.26470000000002</v>
      </c>
      <c r="G22" s="86">
        <f t="shared" si="0"/>
        <v>0.30960205882352948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4.4">
      <c r="A23" s="35" t="s">
        <v>15</v>
      </c>
      <c r="B23" s="37" t="s">
        <v>60</v>
      </c>
      <c r="C23" s="31" t="s">
        <v>16</v>
      </c>
      <c r="D23" s="32">
        <v>1700</v>
      </c>
      <c r="E23" s="39">
        <v>2</v>
      </c>
      <c r="F23" s="85">
        <f t="shared" ref="F23:F28" si="1">PRODUCT(D23*E23)</f>
        <v>3400</v>
      </c>
      <c r="G23" s="86">
        <f t="shared" si="0"/>
        <v>10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4">
      <c r="A24" s="35"/>
      <c r="B24" s="41" t="s">
        <v>61</v>
      </c>
      <c r="C24" s="31" t="s">
        <v>16</v>
      </c>
      <c r="D24" s="38"/>
      <c r="E24" s="39"/>
      <c r="F24" s="85">
        <f>PRODUCT(D24*E24)</f>
        <v>0</v>
      </c>
      <c r="G24" s="86">
        <f t="shared" si="0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4.4">
      <c r="A25" s="35"/>
      <c r="B25" s="41" t="s">
        <v>30</v>
      </c>
      <c r="C25" s="31" t="s">
        <v>16</v>
      </c>
      <c r="D25" s="38"/>
      <c r="E25" s="39"/>
      <c r="F25" s="85">
        <f>PRODUCT(D25*E25)</f>
        <v>0</v>
      </c>
      <c r="G25" s="86">
        <f t="shared" si="0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4.4">
      <c r="A26" s="35"/>
      <c r="B26" s="41" t="s">
        <v>17</v>
      </c>
      <c r="C26" s="31" t="s">
        <v>4</v>
      </c>
      <c r="D26" s="38">
        <v>1000</v>
      </c>
      <c r="E26" s="39">
        <v>2.85</v>
      </c>
      <c r="F26" s="85">
        <f>PRODUCT(D26*E26)</f>
        <v>2850</v>
      </c>
      <c r="G26" s="86">
        <f t="shared" si="0"/>
        <v>8.382352941176471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4.4">
      <c r="A27" s="35"/>
      <c r="B27" s="41" t="s">
        <v>57</v>
      </c>
      <c r="C27" s="31" t="s">
        <v>4</v>
      </c>
      <c r="D27" s="43"/>
      <c r="E27" s="39"/>
      <c r="F27" s="85">
        <f>PRODUCT(D27*E27)</f>
        <v>0</v>
      </c>
      <c r="G27" s="86">
        <f t="shared" si="0"/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4.4">
      <c r="A28" s="35"/>
      <c r="B28" s="41" t="s">
        <v>54</v>
      </c>
      <c r="C28" s="31" t="s">
        <v>18</v>
      </c>
      <c r="D28" s="32">
        <v>120</v>
      </c>
      <c r="E28" s="39">
        <v>4.5999999999999996</v>
      </c>
      <c r="F28" s="85">
        <f t="shared" si="1"/>
        <v>552</v>
      </c>
      <c r="G28" s="86">
        <f t="shared" si="0"/>
        <v>1.6235294117647059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4.4">
      <c r="A29" s="30"/>
      <c r="B29" s="42" t="s">
        <v>19</v>
      </c>
      <c r="C29" s="31" t="s">
        <v>18</v>
      </c>
      <c r="D29" s="118">
        <f>C8*30.3*0.1</f>
        <v>30.3</v>
      </c>
      <c r="E29" s="45">
        <v>9.8000000000000007</v>
      </c>
      <c r="F29" s="85">
        <f t="shared" ref="F29:F34" si="2">PRODUCT(D29*E29)</f>
        <v>296.94000000000005</v>
      </c>
      <c r="G29" s="86">
        <f t="shared" si="0"/>
        <v>0.87335294117647078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4.4">
      <c r="A30" s="30"/>
      <c r="B30" s="42" t="s">
        <v>68</v>
      </c>
      <c r="C30" s="31" t="s">
        <v>4</v>
      </c>
      <c r="D30" s="114">
        <f>0.05*(C8*30.4)</f>
        <v>15.200000000000001</v>
      </c>
      <c r="E30" s="45">
        <v>2.9</v>
      </c>
      <c r="F30" s="85">
        <f t="shared" si="2"/>
        <v>44.08</v>
      </c>
      <c r="G30" s="86">
        <f t="shared" si="0"/>
        <v>0.12964705882352939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4.4">
      <c r="A31" s="35" t="s">
        <v>69</v>
      </c>
      <c r="B31" s="42"/>
      <c r="C31" s="31" t="s">
        <v>28</v>
      </c>
      <c r="D31" s="114">
        <f>0.003*(C8*30.4)</f>
        <v>0.91200000000000003</v>
      </c>
      <c r="E31" s="64">
        <v>1300</v>
      </c>
      <c r="F31" s="85">
        <f t="shared" si="2"/>
        <v>1185.6000000000001</v>
      </c>
      <c r="G31" s="86">
        <f t="shared" si="0"/>
        <v>3.487058823529412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s="4" customFormat="1" ht="14.4">
      <c r="A32" s="35" t="s">
        <v>21</v>
      </c>
      <c r="B32" s="41" t="s">
        <v>20</v>
      </c>
      <c r="C32" s="31" t="s">
        <v>4</v>
      </c>
      <c r="D32" s="119">
        <f>C8*30.4*3.5</f>
        <v>1064</v>
      </c>
      <c r="E32" s="39">
        <v>1.5</v>
      </c>
      <c r="F32" s="85">
        <f t="shared" si="2"/>
        <v>1596</v>
      </c>
      <c r="G32" s="86">
        <f t="shared" si="0"/>
        <v>4.6941176470588237</v>
      </c>
    </row>
    <row r="33" spans="1:32" ht="14.4">
      <c r="A33" s="35"/>
      <c r="B33" s="42" t="s">
        <v>56</v>
      </c>
      <c r="C33" s="31" t="s">
        <v>14</v>
      </c>
      <c r="D33" s="31">
        <v>1</v>
      </c>
      <c r="E33" s="64">
        <v>68</v>
      </c>
      <c r="F33" s="85">
        <f t="shared" si="2"/>
        <v>68</v>
      </c>
      <c r="G33" s="86">
        <f t="shared" si="0"/>
        <v>0.2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4.4">
      <c r="B34" s="37" t="s">
        <v>22</v>
      </c>
      <c r="C34" s="31" t="s">
        <v>14</v>
      </c>
      <c r="D34" s="32">
        <v>1</v>
      </c>
      <c r="E34" s="44">
        <v>30</v>
      </c>
      <c r="F34" s="85">
        <f t="shared" si="2"/>
        <v>30</v>
      </c>
      <c r="G34" s="86">
        <f t="shared" si="0"/>
        <v>8.8235294117647065E-2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4.4">
      <c r="A35" s="35" t="s">
        <v>27</v>
      </c>
      <c r="B35" s="6"/>
      <c r="C35" s="13" t="s">
        <v>28</v>
      </c>
      <c r="D35" s="115">
        <f>(C8*30.4*1)/60</f>
        <v>5.0666666666666664</v>
      </c>
      <c r="E35" s="44">
        <v>300</v>
      </c>
      <c r="F35" s="85">
        <f>D35*E35</f>
        <v>1520</v>
      </c>
      <c r="G35" s="86">
        <f t="shared" si="0"/>
        <v>4.4705882352941178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5" thickBot="1">
      <c r="A36" s="26" t="s">
        <v>33</v>
      </c>
      <c r="B36" s="46"/>
      <c r="C36" s="47"/>
      <c r="D36" s="48"/>
      <c r="E36" s="49"/>
      <c r="F36" s="87">
        <f>SUM(F19:F35)</f>
        <v>20927.884699999999</v>
      </c>
      <c r="G36" s="88">
        <f>F36/$C$9</f>
        <v>61.552602058823524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4.4">
      <c r="F37" s="59"/>
      <c r="G37" s="60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s="7" customFormat="1" ht="15" thickBot="1">
      <c r="A38" s="109" t="s">
        <v>36</v>
      </c>
      <c r="B38" s="27"/>
      <c r="C38" s="36"/>
      <c r="D38" s="36"/>
      <c r="E38" s="61"/>
      <c r="F38" s="108">
        <f>F16-F36</f>
        <v>-1188.5846999999994</v>
      </c>
      <c r="G38" s="90">
        <f t="shared" si="0"/>
        <v>-3.4958373529411748</v>
      </c>
    </row>
    <row r="39" spans="1:32" s="16" customFormat="1" ht="14.4">
      <c r="C39" s="15"/>
      <c r="D39" s="15"/>
      <c r="E39" s="15"/>
      <c r="F39" s="18"/>
      <c r="G39" s="60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</row>
    <row r="40" spans="1:32" s="16" customFormat="1" ht="14.4">
      <c r="C40" s="15"/>
      <c r="D40" s="15"/>
      <c r="E40" s="15"/>
      <c r="F40" s="18"/>
      <c r="G40" s="60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</row>
    <row r="41" spans="1:32" ht="15" thickBot="1">
      <c r="A41" s="26" t="s">
        <v>35</v>
      </c>
      <c r="B41" s="27"/>
      <c r="C41" s="28" t="s">
        <v>5</v>
      </c>
      <c r="D41" s="28" t="s">
        <v>6</v>
      </c>
      <c r="E41" s="28" t="s">
        <v>7</v>
      </c>
      <c r="F41" s="29" t="s">
        <v>8</v>
      </c>
      <c r="G41" s="29" t="s">
        <v>63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4.4" hidden="1">
      <c r="B42" s="5" t="s">
        <v>52</v>
      </c>
      <c r="C42" s="11"/>
      <c r="D42" s="14"/>
      <c r="E42" s="14"/>
      <c r="F42" s="12">
        <f>PRODUCT(D42*E42)</f>
        <v>0</v>
      </c>
      <c r="G42" s="33">
        <f t="shared" si="0"/>
        <v>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4.4">
      <c r="A43" s="35" t="s">
        <v>26</v>
      </c>
      <c r="B43" s="30" t="s">
        <v>31</v>
      </c>
      <c r="C43" s="31" t="s">
        <v>32</v>
      </c>
      <c r="D43" s="32">
        <v>25</v>
      </c>
      <c r="E43" s="34">
        <v>27000</v>
      </c>
      <c r="F43" s="91">
        <f>(E43/D43)*(C8/12)</f>
        <v>900</v>
      </c>
      <c r="G43" s="92">
        <f t="shared" si="0"/>
        <v>2.6470588235294117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4.4">
      <c r="B44" s="30" t="s">
        <v>62</v>
      </c>
      <c r="C44" s="31"/>
      <c r="D44" s="50">
        <v>0.04</v>
      </c>
      <c r="E44" s="34">
        <v>27000</v>
      </c>
      <c r="F44" s="91">
        <f>((E44/2)*D44)*(C8/12)</f>
        <v>450</v>
      </c>
      <c r="G44" s="92">
        <f t="shared" si="0"/>
        <v>1.3235294117647058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4.4">
      <c r="B45" s="30" t="s">
        <v>23</v>
      </c>
      <c r="C45" s="31" t="s">
        <v>14</v>
      </c>
      <c r="D45" s="32">
        <v>1</v>
      </c>
      <c r="E45" s="51">
        <v>110</v>
      </c>
      <c r="F45" s="91">
        <f>PRODUCT(D45*E45)</f>
        <v>110</v>
      </c>
      <c r="G45" s="92">
        <f t="shared" si="0"/>
        <v>0.3235294117647059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4.4">
      <c r="B46" s="30" t="s">
        <v>24</v>
      </c>
      <c r="C46" s="114">
        <f>0.55*C47</f>
        <v>0.45833333333333337</v>
      </c>
      <c r="D46" s="116">
        <f>SUM(F23:F34,F42:F45,F35)</f>
        <v>13002.62</v>
      </c>
      <c r="E46" s="52">
        <v>0.04</v>
      </c>
      <c r="F46" s="91">
        <f>E46*(D46*C46)</f>
        <v>238.38136666666671</v>
      </c>
      <c r="G46" s="92">
        <f t="shared" si="0"/>
        <v>0.70112166666666675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4.4">
      <c r="B47" s="30" t="s">
        <v>25</v>
      </c>
      <c r="C47" s="122">
        <f>C8/12</f>
        <v>0.83333333333333337</v>
      </c>
      <c r="D47" s="116">
        <f>F20+F21+F22</f>
        <v>9385.2646999999997</v>
      </c>
      <c r="E47" s="52">
        <v>0.04</v>
      </c>
      <c r="F47" s="91">
        <f>E47*(D47*C47)</f>
        <v>312.84215666666665</v>
      </c>
      <c r="G47" s="92">
        <f t="shared" si="0"/>
        <v>0.92012399019607838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s="7" customFormat="1" ht="15" thickBot="1">
      <c r="A48" s="26" t="s">
        <v>37</v>
      </c>
      <c r="B48" s="27"/>
      <c r="C48" s="47"/>
      <c r="D48" s="48"/>
      <c r="E48" s="53"/>
      <c r="F48" s="93">
        <f>SUM(F42:F47)</f>
        <v>2011.2235233333333</v>
      </c>
      <c r="G48" s="94">
        <f t="shared" si="0"/>
        <v>5.9153633039215689</v>
      </c>
    </row>
    <row r="49" spans="1:32" s="16" customFormat="1" ht="14.4">
      <c r="A49" s="5"/>
      <c r="B49" s="5"/>
      <c r="C49" s="9"/>
      <c r="D49" s="9"/>
      <c r="E49" s="9"/>
      <c r="F49" s="59"/>
      <c r="G49" s="60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</row>
    <row r="50" spans="1:32" s="16" customFormat="1" ht="15" thickBot="1">
      <c r="A50" s="109" t="s">
        <v>29</v>
      </c>
      <c r="B50" s="27"/>
      <c r="C50" s="36"/>
      <c r="D50" s="36"/>
      <c r="E50" s="36"/>
      <c r="F50" s="108">
        <f>F38-F48</f>
        <v>-3199.8082233333325</v>
      </c>
      <c r="G50" s="90">
        <f t="shared" si="0"/>
        <v>-9.4112006568627429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</row>
    <row r="51" spans="1:32" ht="14.4">
      <c r="A51" s="16"/>
      <c r="B51" s="16"/>
      <c r="C51" s="15"/>
      <c r="D51" s="15"/>
      <c r="E51" s="15"/>
      <c r="F51" s="18"/>
      <c r="G51" s="6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4.4">
      <c r="D52" s="5"/>
      <c r="E52" s="5"/>
      <c r="F52" s="5"/>
      <c r="G52" s="6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5" thickBot="1">
      <c r="A53" s="26" t="s">
        <v>76</v>
      </c>
      <c r="B53" s="27"/>
      <c r="C53" s="28" t="s">
        <v>5</v>
      </c>
      <c r="D53" s="28" t="s">
        <v>6</v>
      </c>
      <c r="E53" s="28" t="s">
        <v>7</v>
      </c>
      <c r="F53" s="29" t="s">
        <v>8</v>
      </c>
      <c r="G53" s="29" t="s">
        <v>63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4.4">
      <c r="A54" s="35"/>
      <c r="B54" s="30" t="s">
        <v>74</v>
      </c>
      <c r="C54" s="55" t="s">
        <v>75</v>
      </c>
      <c r="D54" s="125">
        <v>0</v>
      </c>
      <c r="E54" s="126">
        <f>143.51*C5</f>
        <v>1655.0290749999999</v>
      </c>
      <c r="F54" s="95">
        <f>PRODUCT(D54*E54)</f>
        <v>0</v>
      </c>
      <c r="G54" s="95">
        <f t="shared" si="0"/>
        <v>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4.4">
      <c r="A55" s="30"/>
      <c r="B55" s="30" t="s">
        <v>59</v>
      </c>
      <c r="C55" s="31" t="s">
        <v>75</v>
      </c>
      <c r="D55" s="32">
        <v>0</v>
      </c>
      <c r="E55" s="124">
        <v>0</v>
      </c>
      <c r="F55" s="95">
        <f>PRODUCT(D55*E55)</f>
        <v>0</v>
      </c>
      <c r="G55" s="95">
        <f t="shared" si="0"/>
        <v>0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4.4">
      <c r="A56" s="35"/>
      <c r="B56" s="30" t="s">
        <v>40</v>
      </c>
      <c r="C56" s="31" t="s">
        <v>75</v>
      </c>
      <c r="D56" s="32">
        <v>0</v>
      </c>
      <c r="E56" s="107">
        <v>1850</v>
      </c>
      <c r="F56" s="95">
        <f>PRODUCT(D56*E56)</f>
        <v>0</v>
      </c>
      <c r="G56" s="95">
        <f t="shared" si="0"/>
        <v>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4.4">
      <c r="A57" s="35"/>
      <c r="B57" s="30" t="s">
        <v>41</v>
      </c>
      <c r="C57" s="31" t="s">
        <v>75</v>
      </c>
      <c r="D57" s="32">
        <v>0</v>
      </c>
      <c r="E57" s="107">
        <v>3950</v>
      </c>
      <c r="F57" s="95">
        <f>PRODUCT(D57*E57)</f>
        <v>0</v>
      </c>
      <c r="G57" s="95">
        <f t="shared" si="0"/>
        <v>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5" thickBot="1">
      <c r="A58" s="26" t="s">
        <v>67</v>
      </c>
      <c r="B58" s="27"/>
      <c r="C58" s="36"/>
      <c r="D58" s="36"/>
      <c r="E58" s="36"/>
      <c r="F58" s="96">
        <f>SUM(F54:F57)</f>
        <v>0</v>
      </c>
      <c r="G58" s="96">
        <f>SUM(G54:G57)</f>
        <v>0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8:32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8:32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8:32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8:32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8:32"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8:32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8:32"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8:32"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8:32"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8:32"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8:32"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8:32"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8:32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8:32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8:32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8:32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8:32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8:32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8:32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8:32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8:32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8:32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8:32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8:32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8:32"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8:32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8:32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8:32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8:32"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8:32"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8:32"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8:32"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8:32"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8:32"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8:32"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8:32"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8:32"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8:32"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8:32"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8:32"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8:32"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8:32"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8:32"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8:32"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8:32"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8:32"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8:32"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8:32"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8:32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8:32"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8:32"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8:32"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8:32"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8:32"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8:32"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8:32"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8:32"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8:32"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8:32"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8:32"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8:32"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8:32"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8:32"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8:32"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8:32"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8:32"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8:32"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8:32"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8:32"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8:32"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8:32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8:32"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8:32"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8:32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8:32"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8:32"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8:32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8:32"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8:32"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8:32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8:32"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8:32"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8:32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8:32"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8:32"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8:32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8:32"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8:32"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8:32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8:32"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8:32"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8:32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8:32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8:32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8:32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8:32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8:32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8:32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8:32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8:32"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8:32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8:32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8:32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8:32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8:32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8:32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8:32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8:32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8:32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8:32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8:32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8:32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8:32"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8:32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8:32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8:32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8:32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8:32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8:32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8:32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8:32"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8:32"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8:32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8:32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8:32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8:32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8:32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8:32"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8:32"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8:32"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8:32"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8:32"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8:32"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8:32"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8:32"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8:32"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8:32"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8:32"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8:32"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8:32"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8:32"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8:32"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8:32"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8:32"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8:32"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8:32"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8:32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8:32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8:32"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8:32"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8:32"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8:32"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8:32"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8:32"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8:32"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8:32"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8:32"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8:32"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8:32"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8:32"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8:32"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8:32"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8:32"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8:32"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8:32"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8:32"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8:32"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8:32"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8:32"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8:32"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8:32"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8:32"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8:32"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8:32"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8:32"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8:32"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8:32"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8:32"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8:32"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8:32"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8:32"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8:32"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8:32"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8:32"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8:32"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8:32"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8:32"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8:32"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8:32"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8:32"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8:32"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8:32"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8:32"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8:32"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8:32"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8:32"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8:32"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8:32"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8:32"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8:32"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8:32"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8:32"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8:32"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8:32"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8:32"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8:32"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8:32"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8:32"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8:32"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8:32"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8:32"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8:32"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8:32"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8:32"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8:32"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8:32"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8:32"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8:32"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8:32"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8:32"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8:32"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8:32"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</sheetData>
  <mergeCells count="2">
    <mergeCell ref="A3:F3"/>
    <mergeCell ref="E7:F8"/>
  </mergeCells>
  <pageMargins left="0.74803149606299213" right="0.74803149606299213" top="0.94488188976377963" bottom="0.74803149606299213" header="0.31496062992125984" footer="0.31496062992125984"/>
  <pageSetup paperSize="9" scale="91" orientation="portrait" r:id="rId1"/>
  <headerFooter alignWithMargins="0">
    <oddHeader>&amp;L&amp;G&amp;R&amp;G</oddHeader>
    <oddFooter>&amp;C&amp;"Myriad Pro,Normal"Gård &amp; Djurhälsan – Växel: 0771-21 65 00 – www.gårdochdjurhälsan.se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10"/>
    <pageSetUpPr fitToPage="1"/>
  </sheetPr>
  <dimension ref="A3:AF285"/>
  <sheetViews>
    <sheetView showGridLines="0" zoomScaleNormal="100" zoomScaleSheetLayoutView="100" workbookViewId="0">
      <selection activeCell="F5" sqref="F5"/>
    </sheetView>
  </sheetViews>
  <sheetFormatPr defaultColWidth="9.109375" defaultRowHeight="13.8"/>
  <cols>
    <col min="1" max="1" width="12.6640625" style="5" customWidth="1"/>
    <col min="2" max="2" width="32.109375" style="5" customWidth="1"/>
    <col min="3" max="3" width="8.6640625" style="9" customWidth="1"/>
    <col min="4" max="4" width="10.6640625" style="9" customWidth="1"/>
    <col min="5" max="5" width="8.109375" style="9" customWidth="1"/>
    <col min="6" max="6" width="12.44140625" style="10" customWidth="1"/>
    <col min="7" max="7" width="11" style="5" customWidth="1"/>
    <col min="8" max="8" width="9.109375" style="5"/>
    <col min="9" max="9" width="8.44140625" style="5" customWidth="1"/>
    <col min="10" max="16384" width="9.109375" style="5"/>
  </cols>
  <sheetData>
    <row r="3" spans="1:32" s="8" customFormat="1" ht="15.6">
      <c r="A3" s="129" t="s">
        <v>73</v>
      </c>
      <c r="B3" s="131"/>
      <c r="C3" s="131"/>
      <c r="D3" s="131"/>
      <c r="E3" s="131"/>
      <c r="F3" s="131"/>
    </row>
    <row r="4" spans="1:32" s="8" customFormat="1" ht="15.6">
      <c r="A4" s="21"/>
      <c r="C4" s="5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4">
      <c r="B5" s="22" t="s">
        <v>64</v>
      </c>
      <c r="C5" s="128">
        <v>11.532500000000001</v>
      </c>
      <c r="D5" s="73"/>
      <c r="E5" s="71" t="s">
        <v>65</v>
      </c>
      <c r="F5" s="72">
        <f>((F20+F21+F23+F24+F25+F26+F27+F28+F29+F32+F33+F34+F35+F43+F44+F45))/2</f>
        <v>11118.449999999999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4.4">
      <c r="B6" s="22" t="s">
        <v>70</v>
      </c>
      <c r="C6" s="81">
        <v>8</v>
      </c>
      <c r="D6" s="25" t="s">
        <v>1</v>
      </c>
      <c r="E6" s="71"/>
      <c r="F6" s="7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4.4">
      <c r="B7" s="22" t="s">
        <v>0</v>
      </c>
      <c r="C7" s="23">
        <v>16</v>
      </c>
      <c r="D7" s="25" t="s">
        <v>1</v>
      </c>
      <c r="E7" s="130"/>
      <c r="F7" s="13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4.4">
      <c r="B8" s="22" t="s">
        <v>2</v>
      </c>
      <c r="C8" s="97">
        <f>C7-C6</f>
        <v>8</v>
      </c>
      <c r="D8" s="98" t="s">
        <v>1</v>
      </c>
      <c r="E8" s="130"/>
      <c r="F8" s="13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4.4">
      <c r="B9" s="24" t="s">
        <v>3</v>
      </c>
      <c r="C9" s="25">
        <v>380</v>
      </c>
      <c r="D9" s="25" t="s">
        <v>4</v>
      </c>
      <c r="E9" s="4"/>
      <c r="F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s="16" customFormat="1" ht="13.2">
      <c r="B10" s="20"/>
      <c r="C10" s="15"/>
      <c r="E10" s="15"/>
      <c r="F10" s="19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</row>
    <row r="11" spans="1:32" ht="15" thickBot="1">
      <c r="A11" s="26"/>
      <c r="B11" s="27"/>
      <c r="C11" s="28" t="s">
        <v>5</v>
      </c>
      <c r="D11" s="28" t="s">
        <v>6</v>
      </c>
      <c r="E11" s="28" t="s">
        <v>7</v>
      </c>
      <c r="F11" s="29" t="s">
        <v>8</v>
      </c>
      <c r="G11" s="29" t="s">
        <v>63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4.4">
      <c r="A12" s="35" t="s">
        <v>9</v>
      </c>
      <c r="B12" s="67" t="s">
        <v>10</v>
      </c>
      <c r="C12" s="66" t="s">
        <v>4</v>
      </c>
      <c r="D12" s="110">
        <f>C9</f>
        <v>380</v>
      </c>
      <c r="E12" s="65">
        <v>57.2</v>
      </c>
      <c r="F12" s="82">
        <f>PRODUCT(D12*E12)</f>
        <v>21736</v>
      </c>
      <c r="G12" s="82">
        <f>F12/$C$9</f>
        <v>57.2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4.4">
      <c r="A13" s="30"/>
      <c r="B13" s="42" t="s">
        <v>53</v>
      </c>
      <c r="C13" s="40"/>
      <c r="D13" s="111">
        <f>D12</f>
        <v>380</v>
      </c>
      <c r="E13" s="44"/>
      <c r="F13" s="82">
        <f>PRODUCT(D13*E13)</f>
        <v>0</v>
      </c>
      <c r="G13" s="82">
        <f t="shared" ref="G13:G56" si="0">F13/$C$9</f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4.4">
      <c r="A14" s="35" t="s">
        <v>50</v>
      </c>
      <c r="B14" s="42" t="s">
        <v>58</v>
      </c>
      <c r="C14" s="40"/>
      <c r="D14" s="112">
        <f>(C7-12)/12</f>
        <v>0.33333333333333331</v>
      </c>
      <c r="E14" s="117">
        <f>96*C5</f>
        <v>1107.1200000000001</v>
      </c>
      <c r="F14" s="82">
        <f>D14*E14</f>
        <v>369.04</v>
      </c>
      <c r="G14" s="82">
        <f t="shared" si="0"/>
        <v>0.97115789473684211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4.4">
      <c r="B15" s="42" t="s">
        <v>51</v>
      </c>
      <c r="C15" s="40"/>
      <c r="D15" s="112">
        <f>1/1.65*C8/12</f>
        <v>0.40404040404040403</v>
      </c>
      <c r="E15" s="64"/>
      <c r="F15" s="82">
        <f>D15*E15</f>
        <v>0</v>
      </c>
      <c r="G15" s="82">
        <f>F15/$C$9</f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7" customFormat="1" ht="15" thickBot="1">
      <c r="A16" s="26" t="s">
        <v>11</v>
      </c>
      <c r="B16" s="27"/>
      <c r="C16" s="63"/>
      <c r="D16" s="63"/>
      <c r="E16" s="63"/>
      <c r="F16" s="83">
        <f>SUM(F12:F14)</f>
        <v>22105.040000000001</v>
      </c>
      <c r="G16" s="84">
        <f t="shared" si="0"/>
        <v>58.171157894736844</v>
      </c>
    </row>
    <row r="17" spans="1:32" s="16" customFormat="1" ht="14.4">
      <c r="C17" s="15"/>
      <c r="D17" s="15"/>
      <c r="E17" s="15"/>
      <c r="F17" s="17"/>
      <c r="G17" s="60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32" s="16" customFormat="1" ht="14.4">
      <c r="B18" s="15"/>
      <c r="C18" s="15"/>
      <c r="D18" s="15"/>
      <c r="E18" s="15"/>
      <c r="F18" s="17"/>
      <c r="G18" s="60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</row>
    <row r="19" spans="1:32" ht="15" thickBot="1">
      <c r="A19" s="26" t="s">
        <v>34</v>
      </c>
      <c r="B19" s="57"/>
      <c r="C19" s="28" t="s">
        <v>5</v>
      </c>
      <c r="D19" s="28" t="s">
        <v>6</v>
      </c>
      <c r="E19" s="28" t="s">
        <v>7</v>
      </c>
      <c r="F19" s="29" t="s">
        <v>8</v>
      </c>
      <c r="G19" s="29" t="s">
        <v>63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4.4">
      <c r="A20" s="35" t="s">
        <v>12</v>
      </c>
      <c r="B20" s="37" t="s">
        <v>55</v>
      </c>
      <c r="C20" s="31" t="s">
        <v>4</v>
      </c>
      <c r="D20" s="32">
        <v>300</v>
      </c>
      <c r="E20" s="34">
        <v>35</v>
      </c>
      <c r="F20" s="85">
        <f>PRODUCT(D20*E20)</f>
        <v>10500</v>
      </c>
      <c r="G20" s="86">
        <f t="shared" si="0"/>
        <v>27.631578947368421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4.4">
      <c r="A21" s="35"/>
      <c r="B21" s="37" t="s">
        <v>13</v>
      </c>
      <c r="C21" s="31" t="s">
        <v>14</v>
      </c>
      <c r="D21" s="32">
        <v>1</v>
      </c>
      <c r="E21" s="34">
        <v>400</v>
      </c>
      <c r="F21" s="85">
        <f>(D21*E21)</f>
        <v>400</v>
      </c>
      <c r="G21" s="86">
        <f t="shared" si="0"/>
        <v>1.0526315789473684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4.4">
      <c r="A22" s="35"/>
      <c r="B22" s="37" t="s">
        <v>66</v>
      </c>
      <c r="C22" s="31"/>
      <c r="D22" s="32">
        <v>0.01</v>
      </c>
      <c r="E22" s="120">
        <f>F5</f>
        <v>11118.449999999999</v>
      </c>
      <c r="F22" s="85">
        <f>D22*E22</f>
        <v>111.18449999999999</v>
      </c>
      <c r="G22" s="86">
        <f t="shared" si="0"/>
        <v>0.29259078947368417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4.4">
      <c r="A23" s="35" t="s">
        <v>15</v>
      </c>
      <c r="B23" s="37" t="s">
        <v>60</v>
      </c>
      <c r="C23" s="31" t="s">
        <v>16</v>
      </c>
      <c r="D23" s="32">
        <v>900</v>
      </c>
      <c r="E23" s="39">
        <v>1.9</v>
      </c>
      <c r="F23" s="85">
        <f t="shared" ref="F23:F28" si="1">PRODUCT(D23*E23)</f>
        <v>1710</v>
      </c>
      <c r="G23" s="86">
        <f t="shared" si="0"/>
        <v>4.5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4">
      <c r="A24" s="35"/>
      <c r="B24" s="41" t="s">
        <v>61</v>
      </c>
      <c r="C24" s="31" t="s">
        <v>16</v>
      </c>
      <c r="D24" s="38">
        <v>900</v>
      </c>
      <c r="E24" s="39">
        <v>1.7</v>
      </c>
      <c r="F24" s="85">
        <f>PRODUCT(D24*E24)</f>
        <v>1530</v>
      </c>
      <c r="G24" s="86">
        <f t="shared" si="0"/>
        <v>4.0263157894736841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4.4">
      <c r="A25" s="35"/>
      <c r="B25" s="41" t="s">
        <v>30</v>
      </c>
      <c r="C25" s="31" t="s">
        <v>16</v>
      </c>
      <c r="D25" s="38"/>
      <c r="E25" s="39"/>
      <c r="F25" s="85">
        <f>PRODUCT(D25*E25)</f>
        <v>0</v>
      </c>
      <c r="G25" s="86">
        <f t="shared" si="0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4.4">
      <c r="A26" s="35"/>
      <c r="B26" s="41" t="s">
        <v>17</v>
      </c>
      <c r="C26" s="31" t="s">
        <v>4</v>
      </c>
      <c r="D26" s="38">
        <v>1200</v>
      </c>
      <c r="E26" s="39">
        <v>2.85</v>
      </c>
      <c r="F26" s="85">
        <f>PRODUCT(D26*E26)</f>
        <v>3420</v>
      </c>
      <c r="G26" s="86">
        <f t="shared" si="0"/>
        <v>9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4.4">
      <c r="A27" s="35"/>
      <c r="B27" s="41" t="s">
        <v>57</v>
      </c>
      <c r="C27" s="31" t="s">
        <v>4</v>
      </c>
      <c r="D27" s="43"/>
      <c r="E27" s="39"/>
      <c r="F27" s="85">
        <f>PRODUCT(D27*E27)</f>
        <v>0</v>
      </c>
      <c r="G27" s="86">
        <f t="shared" si="0"/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4.4">
      <c r="A28" s="35"/>
      <c r="B28" s="41" t="s">
        <v>54</v>
      </c>
      <c r="C28" s="31" t="s">
        <v>18</v>
      </c>
      <c r="D28" s="32">
        <v>120</v>
      </c>
      <c r="E28" s="39">
        <v>4.2</v>
      </c>
      <c r="F28" s="85">
        <f t="shared" si="1"/>
        <v>504</v>
      </c>
      <c r="G28" s="86">
        <f t="shared" si="0"/>
        <v>1.3263157894736841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4.4">
      <c r="A29" s="30"/>
      <c r="B29" s="42" t="s">
        <v>19</v>
      </c>
      <c r="C29" s="31" t="s">
        <v>18</v>
      </c>
      <c r="D29" s="114">
        <f>C8*30.3*0.1</f>
        <v>24.240000000000002</v>
      </c>
      <c r="E29" s="45">
        <v>8.75</v>
      </c>
      <c r="F29" s="85">
        <f t="shared" ref="F29:F34" si="2">PRODUCT(D29*E29)</f>
        <v>212.10000000000002</v>
      </c>
      <c r="G29" s="86">
        <f t="shared" si="0"/>
        <v>0.55815789473684219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4.4">
      <c r="A30" s="30"/>
      <c r="B30" s="42" t="s">
        <v>68</v>
      </c>
      <c r="C30" s="31" t="s">
        <v>4</v>
      </c>
      <c r="D30" s="114">
        <f>0.05*(C8*30.4)</f>
        <v>12.16</v>
      </c>
      <c r="E30" s="45">
        <v>2.9</v>
      </c>
      <c r="F30" s="85">
        <f t="shared" si="2"/>
        <v>35.263999999999996</v>
      </c>
      <c r="G30" s="86">
        <f t="shared" si="0"/>
        <v>9.2799999999999994E-2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4.4">
      <c r="A31" s="35" t="s">
        <v>69</v>
      </c>
      <c r="B31" s="42"/>
      <c r="C31" s="31" t="s">
        <v>28</v>
      </c>
      <c r="D31" s="114">
        <f>0.003*(C8*30.4)</f>
        <v>0.72960000000000003</v>
      </c>
      <c r="E31" s="64">
        <v>1300</v>
      </c>
      <c r="F31" s="85">
        <f t="shared" si="2"/>
        <v>948.48</v>
      </c>
      <c r="G31" s="86">
        <f t="shared" si="0"/>
        <v>2.496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s="4" customFormat="1" ht="14.4">
      <c r="A32" s="35" t="s">
        <v>21</v>
      </c>
      <c r="B32" s="41" t="s">
        <v>20</v>
      </c>
      <c r="C32" s="31" t="s">
        <v>4</v>
      </c>
      <c r="D32" s="121">
        <f>C8*30.4*3.5</f>
        <v>851.19999999999993</v>
      </c>
      <c r="E32" s="39">
        <v>1.5</v>
      </c>
      <c r="F32" s="85">
        <f t="shared" si="2"/>
        <v>1276.8</v>
      </c>
      <c r="G32" s="86">
        <f t="shared" si="0"/>
        <v>3.36</v>
      </c>
    </row>
    <row r="33" spans="1:32" ht="14.4">
      <c r="A33" s="35"/>
      <c r="B33" s="42" t="s">
        <v>56</v>
      </c>
      <c r="C33" s="31" t="s">
        <v>14</v>
      </c>
      <c r="D33" s="31">
        <v>1</v>
      </c>
      <c r="E33" s="64">
        <v>68</v>
      </c>
      <c r="F33" s="85">
        <f t="shared" si="2"/>
        <v>68</v>
      </c>
      <c r="G33" s="86">
        <f t="shared" si="0"/>
        <v>0.17894736842105263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4.4">
      <c r="B34" s="37" t="s">
        <v>22</v>
      </c>
      <c r="C34" s="31" t="s">
        <v>14</v>
      </c>
      <c r="D34" s="32">
        <v>1</v>
      </c>
      <c r="E34" s="44">
        <v>30</v>
      </c>
      <c r="F34" s="85">
        <f t="shared" si="2"/>
        <v>30</v>
      </c>
      <c r="G34" s="86">
        <f t="shared" si="0"/>
        <v>7.8947368421052627E-2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4.4">
      <c r="A35" s="35" t="s">
        <v>27</v>
      </c>
      <c r="B35" s="6"/>
      <c r="C35" s="31" t="s">
        <v>28</v>
      </c>
      <c r="D35" s="115">
        <f>(C8*30.4*1/60)</f>
        <v>4.0533333333333328</v>
      </c>
      <c r="E35" s="44">
        <v>300</v>
      </c>
      <c r="F35" s="85">
        <f>D35*E35</f>
        <v>1215.9999999999998</v>
      </c>
      <c r="G35" s="86">
        <f t="shared" si="0"/>
        <v>3.1999999999999993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5" thickBot="1">
      <c r="A36" s="26" t="s">
        <v>33</v>
      </c>
      <c r="B36" s="46"/>
      <c r="C36" s="47"/>
      <c r="D36" s="48"/>
      <c r="E36" s="49"/>
      <c r="F36" s="87">
        <f>SUM(F19:F35)</f>
        <v>21961.828499999996</v>
      </c>
      <c r="G36" s="88">
        <f t="shared" si="0"/>
        <v>57.794285526315782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4.4">
      <c r="F37" s="59"/>
      <c r="G37" s="80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s="7" customFormat="1" ht="15" thickBot="1">
      <c r="A38" s="109" t="s">
        <v>36</v>
      </c>
      <c r="B38" s="27"/>
      <c r="C38" s="36"/>
      <c r="D38" s="36"/>
      <c r="E38" s="61"/>
      <c r="F38" s="89">
        <f>F16-F36</f>
        <v>143.21150000000489</v>
      </c>
      <c r="G38" s="90">
        <f t="shared" si="0"/>
        <v>0.37687236842106547</v>
      </c>
    </row>
    <row r="39" spans="1:32" s="16" customFormat="1" ht="14.4">
      <c r="C39" s="15"/>
      <c r="D39" s="15"/>
      <c r="E39" s="15"/>
      <c r="F39" s="18"/>
      <c r="G39" s="60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</row>
    <row r="40" spans="1:32" s="16" customFormat="1" ht="14.4">
      <c r="C40" s="15"/>
      <c r="D40" s="15"/>
      <c r="E40" s="15"/>
      <c r="F40" s="18"/>
      <c r="G40" s="60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</row>
    <row r="41" spans="1:32" ht="15" thickBot="1">
      <c r="A41" s="26" t="s">
        <v>35</v>
      </c>
      <c r="B41" s="27"/>
      <c r="C41" s="28" t="s">
        <v>5</v>
      </c>
      <c r="D41" s="28" t="s">
        <v>6</v>
      </c>
      <c r="E41" s="28" t="s">
        <v>7</v>
      </c>
      <c r="F41" s="29" t="s">
        <v>8</v>
      </c>
      <c r="G41" s="29" t="s">
        <v>63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4.4" hidden="1">
      <c r="B42" s="5" t="s">
        <v>52</v>
      </c>
      <c r="C42" s="11"/>
      <c r="D42" s="14"/>
      <c r="E42" s="14"/>
      <c r="F42" s="12">
        <f>PRODUCT(D42*E42)</f>
        <v>0</v>
      </c>
      <c r="G42" s="33">
        <f t="shared" si="0"/>
        <v>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4.4">
      <c r="A43" s="35" t="s">
        <v>26</v>
      </c>
      <c r="B43" s="30" t="s">
        <v>31</v>
      </c>
      <c r="C43" s="31" t="s">
        <v>32</v>
      </c>
      <c r="D43" s="32">
        <v>25</v>
      </c>
      <c r="E43" s="34">
        <v>27000</v>
      </c>
      <c r="F43" s="91">
        <f>(E43/D43)*(C8/12)</f>
        <v>720</v>
      </c>
      <c r="G43" s="92">
        <f t="shared" si="0"/>
        <v>1.8947368421052631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4.4">
      <c r="B44" s="30" t="s">
        <v>62</v>
      </c>
      <c r="C44" s="31"/>
      <c r="D44" s="50">
        <v>0.06</v>
      </c>
      <c r="E44" s="34">
        <v>27000</v>
      </c>
      <c r="F44" s="91">
        <f>((E44/2)*D44)*(C8/12)</f>
        <v>540</v>
      </c>
      <c r="G44" s="92">
        <f t="shared" si="0"/>
        <v>1.4210526315789473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4.4">
      <c r="B45" s="30" t="s">
        <v>23</v>
      </c>
      <c r="C45" s="31" t="s">
        <v>14</v>
      </c>
      <c r="D45" s="32">
        <v>1</v>
      </c>
      <c r="E45" s="34">
        <v>110</v>
      </c>
      <c r="F45" s="91">
        <f>PRODUCT(D45*E45)</f>
        <v>110</v>
      </c>
      <c r="G45" s="92">
        <f t="shared" si="0"/>
        <v>0.28947368421052633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4.4">
      <c r="B46" s="30" t="s">
        <v>24</v>
      </c>
      <c r="C46" s="114">
        <f>0.55*C47</f>
        <v>0.3666666666666667</v>
      </c>
      <c r="D46" s="116">
        <f>SUM(F23:F34,F42:F45,F35)</f>
        <v>12320.644</v>
      </c>
      <c r="E46" s="52">
        <v>0.06</v>
      </c>
      <c r="F46" s="91">
        <f>E46*(D46*C46)</f>
        <v>271.054168</v>
      </c>
      <c r="G46" s="92">
        <f t="shared" si="0"/>
        <v>0.71330044210526322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4.4">
      <c r="B47" s="30" t="s">
        <v>25</v>
      </c>
      <c r="C47" s="122">
        <f>C8/12</f>
        <v>0.66666666666666663</v>
      </c>
      <c r="D47" s="116">
        <f>F20+F21+F22</f>
        <v>11011.184499999999</v>
      </c>
      <c r="E47" s="52">
        <v>0.06</v>
      </c>
      <c r="F47" s="91">
        <f>E47*(D47*C47)</f>
        <v>440.4473799999999</v>
      </c>
      <c r="G47" s="92">
        <f t="shared" si="0"/>
        <v>1.1590720526315788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s="7" customFormat="1" ht="15" thickBot="1">
      <c r="A48" s="26" t="s">
        <v>37</v>
      </c>
      <c r="B48" s="27"/>
      <c r="C48" s="47"/>
      <c r="D48" s="48"/>
      <c r="E48" s="53"/>
      <c r="F48" s="93">
        <f>SUM(F42:F47)</f>
        <v>2081.5015480000002</v>
      </c>
      <c r="G48" s="94">
        <f t="shared" si="0"/>
        <v>5.4776356526315793</v>
      </c>
    </row>
    <row r="49" spans="1:32" s="16" customFormat="1" ht="14.4">
      <c r="A49" s="5"/>
      <c r="B49" s="5"/>
      <c r="C49" s="9"/>
      <c r="D49" s="9"/>
      <c r="E49" s="9"/>
      <c r="F49" s="59"/>
      <c r="G49" s="60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</row>
    <row r="50" spans="1:32" s="16" customFormat="1" ht="15" thickBot="1">
      <c r="A50" s="62" t="s">
        <v>29</v>
      </c>
      <c r="B50" s="27"/>
      <c r="C50" s="36"/>
      <c r="D50" s="36"/>
      <c r="E50" s="36"/>
      <c r="F50" s="89">
        <f>F38-F48</f>
        <v>-1938.2900479999953</v>
      </c>
      <c r="G50" s="90">
        <f t="shared" si="0"/>
        <v>-5.1007632842105135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</row>
    <row r="51" spans="1:32" ht="14.4">
      <c r="D51" s="5"/>
      <c r="E51" s="5"/>
      <c r="F51" s="5"/>
      <c r="G51" s="6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5" thickBot="1">
      <c r="A52" s="26" t="s">
        <v>76</v>
      </c>
      <c r="B52" s="27"/>
      <c r="C52" s="28" t="s">
        <v>5</v>
      </c>
      <c r="D52" s="28" t="s">
        <v>6</v>
      </c>
      <c r="E52" s="28" t="s">
        <v>7</v>
      </c>
      <c r="F52" s="29" t="s">
        <v>8</v>
      </c>
      <c r="G52" s="29" t="s">
        <v>63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4.4">
      <c r="A53" s="35"/>
      <c r="B53" s="30" t="s">
        <v>74</v>
      </c>
      <c r="C53" s="55" t="s">
        <v>75</v>
      </c>
      <c r="D53" s="125">
        <v>0</v>
      </c>
      <c r="E53" s="126">
        <f>143.51*C5</f>
        <v>1655.0290749999999</v>
      </c>
      <c r="F53" s="95">
        <f>PRODUCT(D53*E53)</f>
        <v>0</v>
      </c>
      <c r="G53" s="95">
        <f t="shared" si="0"/>
        <v>0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4.4">
      <c r="A54" s="30"/>
      <c r="B54" s="30" t="s">
        <v>59</v>
      </c>
      <c r="C54" s="31" t="s">
        <v>75</v>
      </c>
      <c r="D54" s="32">
        <v>0</v>
      </c>
      <c r="E54" s="124">
        <v>0</v>
      </c>
      <c r="F54" s="95">
        <f>PRODUCT(D54*E54)</f>
        <v>0</v>
      </c>
      <c r="G54" s="95">
        <f t="shared" si="0"/>
        <v>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5" customHeight="1">
      <c r="A55" s="35"/>
      <c r="B55" s="58" t="s">
        <v>40</v>
      </c>
      <c r="C55" s="31" t="s">
        <v>75</v>
      </c>
      <c r="D55" s="32">
        <v>0</v>
      </c>
      <c r="E55" s="107">
        <v>1850</v>
      </c>
      <c r="F55" s="95">
        <f>PRODUCT(D55*E55)</f>
        <v>0</v>
      </c>
      <c r="G55" s="95">
        <f t="shared" si="0"/>
        <v>0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4.4">
      <c r="A56" s="35"/>
      <c r="B56" s="30" t="s">
        <v>41</v>
      </c>
      <c r="C56" s="31" t="s">
        <v>75</v>
      </c>
      <c r="D56" s="32">
        <v>0</v>
      </c>
      <c r="E56" s="107">
        <v>3950</v>
      </c>
      <c r="F56" s="95">
        <f>PRODUCT(D56*E56)</f>
        <v>0</v>
      </c>
      <c r="G56" s="95">
        <f t="shared" si="0"/>
        <v>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5" thickBot="1">
      <c r="A57" s="26" t="s">
        <v>67</v>
      </c>
      <c r="B57" s="27"/>
      <c r="C57" s="36"/>
      <c r="D57" s="36"/>
      <c r="E57" s="36"/>
      <c r="F57" s="96">
        <f>SUM(F53:F56)</f>
        <v>0</v>
      </c>
      <c r="G57" s="96">
        <f>SUM(G53:G56)</f>
        <v>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8:32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8:32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8:32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8:32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8:32"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8:32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8:32"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8:32"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8:32"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8:32"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8:32"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8:32"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8:32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8:32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8:32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8:32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8:32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8:32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8:32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8:32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8:32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8:32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8:32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8:32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8:32"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8:32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8:32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8:32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8:32"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8:32"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8:32"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8:32"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8:32"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8:32"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8:32"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8:32"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8:32"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8:32"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8:32"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8:32"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8:32"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8:32"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8:32"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8:32"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8:32"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8:32"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8:32"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8:32"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8:32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8:32"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8:32"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8:32"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8:32"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8:32"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8:32"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8:32"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8:32"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8:32"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8:32"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8:32"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8:32"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8:32"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8:32"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8:32"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8:32"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8:32"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8:32"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8:32"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8:32"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8:32"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8:32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8:32"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8:32"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8:32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8:32"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8:32"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8:32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8:32"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8:32"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8:32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8:32"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8:32"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8:32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8:32"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8:32"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8:32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8:32"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8:32"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8:32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8:32"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8:32"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8:32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8:32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8:32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8:32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8:32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8:32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8:32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8:32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8:32"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8:32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8:32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8:32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8:32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8:32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8:32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8:32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8:32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8:32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8:32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8:32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8:32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8:32"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8:32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8:32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8:32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8:32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8:32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8:32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8:32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8:32"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8:32"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8:32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8:32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8:32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8:32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8:32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8:32"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8:32"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8:32"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8:32"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8:32"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8:32"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8:32"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8:32"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8:32"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8:32"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8:32"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8:32"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8:32"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8:32"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8:32"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8:32"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8:32"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8:32"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8:32"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8:32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8:32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8:32"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8:32"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8:32"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8:32"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8:32"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8:32"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8:32"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8:32"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8:32"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8:32"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8:32"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8:32"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8:32"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8:32"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8:32"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8:32"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8:32"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8:32"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8:32"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8:32"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8:32"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8:32"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8:32"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8:32"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8:32"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8:32"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8:32"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8:32"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8:32"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8:32"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8:32"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8:32"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8:32"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8:32"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8:32"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8:32"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8:32"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8:32"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8:32"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8:32"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8:32"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8:32"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8:32"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8:32"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8:32"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8:32"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8:32"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8:32"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8:32"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8:32"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8:32"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8:32"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8:32"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8:32"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8:32"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8:32"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8:32"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8:32"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8:32"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8:32"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8:32"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8:32"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8:32"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8:32"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8:32"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8:32"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8:32"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8:32"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8:32"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8:32"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8:32"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8:32"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8:32"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</sheetData>
  <mergeCells count="2">
    <mergeCell ref="A3:F3"/>
    <mergeCell ref="E7:F8"/>
  </mergeCells>
  <pageMargins left="0.74803149606299213" right="0.74803149606299213" top="0.94488188976377963" bottom="0.74803149606299213" header="0.31496062992125984" footer="0.31496062992125984"/>
  <pageSetup paperSize="9" scale="92" orientation="portrait" r:id="rId1"/>
  <headerFooter alignWithMargins="0">
    <oddHeader>&amp;L&amp;G&amp;R&amp;G</oddHeader>
    <oddFooter>&amp;C&amp;"Myriad Pro,Normal"Gård &amp; Djurhälsan – Växel: 0771-21 65 00 – www.gårdochdjurhälsan.se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workbookViewId="0">
      <selection activeCell="D3" sqref="D3:D14"/>
    </sheetView>
  </sheetViews>
  <sheetFormatPr defaultColWidth="9.109375" defaultRowHeight="12.6"/>
  <cols>
    <col min="1" max="1" width="11.5546875" style="2" customWidth="1"/>
    <col min="2" max="2" width="26.33203125" style="2" bestFit="1" customWidth="1"/>
    <col min="3" max="3" width="34.5546875" style="2" bestFit="1" customWidth="1"/>
    <col min="4" max="4" width="34.6640625" style="2" bestFit="1" customWidth="1"/>
    <col min="5" max="5" width="20.109375" style="2" bestFit="1" customWidth="1"/>
    <col min="6" max="16384" width="9.109375" style="2"/>
  </cols>
  <sheetData>
    <row r="1" spans="1:5">
      <c r="A1" s="2" t="s">
        <v>38</v>
      </c>
    </row>
    <row r="2" spans="1:5" ht="15">
      <c r="A2" s="3"/>
      <c r="B2" s="1" t="s">
        <v>39</v>
      </c>
      <c r="C2" s="1" t="s">
        <v>40</v>
      </c>
      <c r="D2" s="1" t="s">
        <v>41</v>
      </c>
      <c r="E2" s="1"/>
    </row>
    <row r="3" spans="1:5">
      <c r="A3" s="2">
        <v>0</v>
      </c>
      <c r="B3" s="2">
        <v>0</v>
      </c>
      <c r="C3" s="2">
        <v>1000</v>
      </c>
      <c r="D3" s="2">
        <v>2800</v>
      </c>
    </row>
    <row r="4" spans="1:5">
      <c r="A4" s="2">
        <v>1</v>
      </c>
      <c r="B4" s="2">
        <v>2700</v>
      </c>
      <c r="C4" s="2">
        <v>1000</v>
      </c>
      <c r="D4" s="2">
        <v>2800</v>
      </c>
    </row>
    <row r="5" spans="1:5">
      <c r="A5" s="2" t="s">
        <v>42</v>
      </c>
      <c r="B5" s="2">
        <v>2100</v>
      </c>
      <c r="C5" s="2">
        <v>1000</v>
      </c>
      <c r="D5" s="2">
        <v>2800</v>
      </c>
    </row>
    <row r="6" spans="1:5">
      <c r="A6" s="2" t="s">
        <v>43</v>
      </c>
      <c r="B6" s="2">
        <v>2100</v>
      </c>
      <c r="C6" s="2">
        <v>1000</v>
      </c>
      <c r="D6" s="2">
        <v>2800</v>
      </c>
    </row>
    <row r="7" spans="1:5">
      <c r="A7" s="2">
        <v>3</v>
      </c>
      <c r="B7" s="2">
        <v>2100</v>
      </c>
      <c r="C7" s="2">
        <v>1000</v>
      </c>
      <c r="D7" s="2">
        <v>2800</v>
      </c>
    </row>
    <row r="8" spans="1:5">
      <c r="A8" s="2" t="s">
        <v>44</v>
      </c>
      <c r="B8" s="2">
        <v>2100</v>
      </c>
      <c r="C8" s="2">
        <v>1000</v>
      </c>
      <c r="D8" s="2">
        <v>2800</v>
      </c>
    </row>
    <row r="9" spans="1:5">
      <c r="A9" s="2" t="s">
        <v>45</v>
      </c>
      <c r="B9" s="2">
        <v>2100</v>
      </c>
      <c r="C9" s="2">
        <v>1000</v>
      </c>
      <c r="D9" s="2">
        <v>2800</v>
      </c>
    </row>
    <row r="10" spans="1:5">
      <c r="A10" s="2" t="s">
        <v>46</v>
      </c>
      <c r="B10" s="2">
        <v>1500</v>
      </c>
      <c r="C10" s="2">
        <v>1000</v>
      </c>
      <c r="D10" s="2">
        <v>2800</v>
      </c>
    </row>
    <row r="11" spans="1:5">
      <c r="A11" s="2" t="s">
        <v>47</v>
      </c>
      <c r="B11" s="2">
        <v>900</v>
      </c>
      <c r="C11" s="2">
        <v>1000</v>
      </c>
      <c r="D11" s="2">
        <v>2800</v>
      </c>
    </row>
    <row r="12" spans="1:5">
      <c r="A12" s="2" t="s">
        <v>48</v>
      </c>
      <c r="B12" s="2">
        <v>0</v>
      </c>
      <c r="C12" s="2">
        <v>1000</v>
      </c>
      <c r="D12" s="2">
        <v>2800</v>
      </c>
    </row>
    <row r="13" spans="1:5">
      <c r="A13" s="2" t="s">
        <v>49</v>
      </c>
      <c r="B13" s="2">
        <v>0</v>
      </c>
      <c r="C13" s="2">
        <v>1000</v>
      </c>
      <c r="D13" s="2">
        <v>2800</v>
      </c>
    </row>
    <row r="14" spans="1:5">
      <c r="A14" s="2">
        <v>9</v>
      </c>
      <c r="B14" s="2">
        <v>0</v>
      </c>
      <c r="C14" s="2">
        <v>1000</v>
      </c>
      <c r="D14" s="2">
        <v>2800</v>
      </c>
    </row>
    <row r="16" spans="1:5" ht="13.2">
      <c r="A16"/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F9825C7708B647B7166021FB7445C1" ma:contentTypeVersion="11" ma:contentTypeDescription="Skapa ett nytt dokument." ma:contentTypeScope="" ma:versionID="5cebfc522f9e963dad7fd48051ace3cf">
  <xsd:schema xmlns:xsd="http://www.w3.org/2001/XMLSchema" xmlns:xs="http://www.w3.org/2001/XMLSchema" xmlns:p="http://schemas.microsoft.com/office/2006/metadata/properties" xmlns:ns2="0136e8ea-c59c-4acf-8a1d-44c411ce7517" xmlns:ns3="dc9bf6b0-c037-4e8f-b370-165ec66c887d" targetNamespace="http://schemas.microsoft.com/office/2006/metadata/properties" ma:root="true" ma:fieldsID="8f901638756f04faeff2ca79fce97e8b" ns2:_="" ns3:_="">
    <xsd:import namespace="0136e8ea-c59c-4acf-8a1d-44c411ce7517"/>
    <xsd:import namespace="dc9bf6b0-c037-4e8f-b370-165ec66c88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6e8ea-c59c-4acf-8a1d-44c411ce75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c09989d-0d0d-4800-b825-09a4362058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bf6b0-c037-4e8f-b370-165ec66c887d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hidden="true" ma:list="{7a3e6b77-d235-4b30-b632-beec0513760d}" ma:internalName="TaxCatchAll" ma:showField="CatchAllData" ma:web="dc9bf6b0-c037-4e8f-b370-165ec66c88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36e8ea-c59c-4acf-8a1d-44c411ce7517">
      <Terms xmlns="http://schemas.microsoft.com/office/infopath/2007/PartnerControls"/>
    </lcf76f155ced4ddcb4097134ff3c332f>
    <TaxCatchAll xmlns="dc9bf6b0-c037-4e8f-b370-165ec66c887d" xsi:nil="true"/>
    <_dlc_DocId xmlns="dc9bf6b0-c037-4e8f-b370-165ec66c887d">SQMHNX6NJ7S5-1457374313-14837</_dlc_DocId>
    <_dlc_DocIdUrl xmlns="dc9bf6b0-c037-4e8f-b370-165ec66c887d">
      <Url>https://svdhv.sharepoint.com/Intranet/arbetsrum/A15/_layouts/15/DocIdRedir.aspx?ID=SQMHNX6NJ7S5-1457374313-14837</Url>
      <Description>SQMHNX6NJ7S5-1457374313-14837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7AAA7F-69B5-4180-B11D-2271A862E2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36e8ea-c59c-4acf-8a1d-44c411ce7517"/>
    <ds:schemaRef ds:uri="dc9bf6b0-c037-4e8f-b370-165ec66c88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505D3-53C4-4163-A0D2-EC48FF4B235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B3EAB4B-7524-46E5-B43F-94A1CED5DA7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0136e8ea-c59c-4acf-8a1d-44c411ce7517"/>
    <ds:schemaRef ds:uri="dc9bf6b0-c037-4e8f-b370-165ec66c887d"/>
  </ds:schemaRefs>
</ds:datastoreItem>
</file>

<file path=customXml/itemProps4.xml><?xml version="1.0" encoding="utf-8"?>
<ds:datastoreItem xmlns:ds="http://schemas.openxmlformats.org/officeDocument/2006/customXml" ds:itemID="{7FFAAC07-D5F0-4F1E-95E1-F81A144AF1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Mjölkrastjur</vt:lpstr>
      <vt:lpstr>Lätt köttrastjur </vt:lpstr>
      <vt:lpstr>Tung köttrastjur</vt:lpstr>
      <vt:lpstr>Blad1</vt:lpstr>
      <vt:lpstr>stödområde</vt:lpstr>
    </vt:vector>
  </TitlesOfParts>
  <Company>KoNet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Lindahl</dc:creator>
  <cp:lastModifiedBy>Sofie Johansson</cp:lastModifiedBy>
  <cp:lastPrinted>2023-12-11T09:29:14Z</cp:lastPrinted>
  <dcterms:created xsi:type="dcterms:W3CDTF">2008-01-15T18:07:42Z</dcterms:created>
  <dcterms:modified xsi:type="dcterms:W3CDTF">2024-01-24T11:57:11Z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0x01010099F9825C7708B647B7166021FB7445C1</vt:lpwstr>
  </property>
  <property fmtid="{D5CDD505-2E9C-101B-9397-08002B2CF9AE}" pid="3" name="MediaServiceImageTags">
    <vt:lpwstr/>
  </property>
  <property fmtid="{D5CDD505-2E9C-101B-9397-08002B2CF9AE}" pid="4" name="_dlc_DocIdItemGuid">
    <vt:lpwstr>9d12d638-8dd0-4653-980d-10476a442167</vt:lpwstr>
  </property>
</Properties>
</file>