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pontus.almerheim\Downloads\"/>
    </mc:Choice>
  </mc:AlternateContent>
  <xr:revisionPtr revIDLastSave="0" documentId="13_ncr:1_{B8768EAE-B739-49A8-A57D-188765AA45B7}" xr6:coauthVersionLast="47" xr6:coauthVersionMax="47" xr10:uidLastSave="{00000000-0000-0000-0000-000000000000}"/>
  <workbookProtection workbookAlgorithmName="SHA-512" workbookHashValue="n1bs5DHfgvFzexH7aA3Exuyxosxx3aIUzPKiQA7dFAwjuUnMBfb1kSTTCFgnSXMa9FGOEgZhPOTQZl6oOOlIgQ==" workbookSaltValue="UVGaSBnpo0ma0VB3r0Jo1A==" workbookSpinCount="100000" lockStructure="1"/>
  <bookViews>
    <workbookView xWindow="-120" yWindow="-120" windowWidth="29040" windowHeight="18240" tabRatio="770" xr2:uid="{00000000-000D-0000-FFFF-FFFF00000000}"/>
  </bookViews>
  <sheets>
    <sheet name="Introduktion" sheetId="11" r:id="rId1"/>
    <sheet name="Mina produktionsnyckeltal" sheetId="15" r:id="rId2"/>
    <sheet name="Mitt ekonomiska underlag" sheetId="13" r:id="rId3"/>
    <sheet name="Min kalkyl" sheetId="1" r:id="rId4"/>
  </sheets>
  <definedNames>
    <definedName name="_xlnm.Print_Area" localSheetId="0">Introduktion!$B$1:$L$22</definedName>
    <definedName name="_xlnm.Print_Area" localSheetId="3">'Min kalkyl'!$B$1:$J$51</definedName>
    <definedName name="_xlnm.Print_Area" localSheetId="1">'Mina produktionsnyckeltal'!$B$3:$E$34,'Mina produktionsnyckeltal'!$H$3:$M$34</definedName>
    <definedName name="_xlnm.Print_Area" localSheetId="2">'Mitt ekonomiska underlag'!$B$3:$K$56</definedName>
    <definedName name="_xlnm.Print_Titles" localSheetId="3">'Min kalkyl'!$1:$3</definedName>
    <definedName name="_xlnm.Print_Titles" localSheetId="1">'Mina produktionsnyckeltal'!$1:$3</definedName>
    <definedName name="_xlnm.Print_Titles" localSheetId="2">'Mitt ekonomiska underlag'!$1:$3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3" l="1"/>
  <c r="F55" i="13" s="1"/>
  <c r="G54" i="13"/>
  <c r="G53" i="13"/>
  <c r="F53" i="13" s="1"/>
  <c r="G48" i="13"/>
  <c r="G47" i="13"/>
  <c r="F47" i="13" s="1"/>
  <c r="G46" i="13"/>
  <c r="F46" i="13" s="1"/>
  <c r="J9" i="1" l="1"/>
  <c r="I9" i="1" s="1"/>
  <c r="H9" i="1"/>
  <c r="J16" i="1" l="1"/>
  <c r="I16" i="1" s="1"/>
  <c r="J15" i="1"/>
  <c r="I15" i="1" s="1"/>
  <c r="J11" i="1"/>
  <c r="I11" i="1" s="1"/>
  <c r="H16" i="1" l="1"/>
  <c r="H15" i="1"/>
  <c r="H11" i="1"/>
  <c r="K37" i="1"/>
  <c r="G17" i="1" l="1"/>
  <c r="H17" i="1" l="1"/>
  <c r="J17" i="1"/>
  <c r="I17" i="1" s="1"/>
  <c r="K36" i="1"/>
  <c r="D11" i="15"/>
  <c r="F23" i="13" l="1"/>
  <c r="F17" i="13"/>
  <c r="E19" i="1" l="1"/>
  <c r="G26" i="1"/>
  <c r="G25" i="1"/>
  <c r="G10" i="1"/>
  <c r="E8" i="1"/>
  <c r="H26" i="1" l="1"/>
  <c r="J26" i="1"/>
  <c r="I26" i="1" s="1"/>
  <c r="H25" i="1"/>
  <c r="J25" i="1"/>
  <c r="I25" i="1" s="1"/>
  <c r="J10" i="1"/>
  <c r="I10" i="1" s="1"/>
  <c r="H10" i="1"/>
  <c r="F7" i="13"/>
  <c r="J25" i="15"/>
  <c r="J31" i="15" l="1"/>
  <c r="K31" i="15" s="1"/>
  <c r="J32" i="15"/>
  <c r="K32" i="15" s="1"/>
  <c r="H32" i="15"/>
  <c r="H31" i="15"/>
  <c r="J30" i="15"/>
  <c r="K30" i="15" s="1"/>
  <c r="J26" i="15"/>
  <c r="J27" i="15"/>
  <c r="J28" i="15"/>
  <c r="J29" i="15"/>
  <c r="D31" i="15"/>
  <c r="F19" i="1" s="1"/>
  <c r="G19" i="1" s="1"/>
  <c r="D30" i="15"/>
  <c r="D18" i="15"/>
  <c r="D12" i="15"/>
  <c r="F48" i="13" l="1"/>
  <c r="F49" i="13" s="1"/>
  <c r="F30" i="1"/>
  <c r="G37" i="1"/>
  <c r="G36" i="1"/>
  <c r="H19" i="1"/>
  <c r="J19" i="1"/>
  <c r="I19" i="1" s="1"/>
  <c r="G41" i="13"/>
  <c r="E22" i="1"/>
  <c r="G15" i="13"/>
  <c r="G22" i="13"/>
  <c r="G20" i="13"/>
  <c r="G16" i="13"/>
  <c r="G21" i="13"/>
  <c r="G7" i="13"/>
  <c r="F10" i="13"/>
  <c r="G10" i="13" s="1"/>
  <c r="F26" i="13"/>
  <c r="G26" i="13" s="1"/>
  <c r="D44" i="13"/>
  <c r="F39" i="1"/>
  <c r="F40" i="1"/>
  <c r="E18" i="1"/>
  <c r="F32" i="13"/>
  <c r="G33" i="13"/>
  <c r="F34" i="13"/>
  <c r="G34" i="13" s="1"/>
  <c r="G35" i="13"/>
  <c r="F32" i="1"/>
  <c r="G32" i="1" s="1"/>
  <c r="K25" i="15"/>
  <c r="K26" i="15"/>
  <c r="K27" i="15"/>
  <c r="K28" i="15"/>
  <c r="K29" i="15"/>
  <c r="D23" i="15"/>
  <c r="D24" i="15" s="1"/>
  <c r="H30" i="15"/>
  <c r="H29" i="15"/>
  <c r="H28" i="15"/>
  <c r="H27" i="15"/>
  <c r="H26" i="15"/>
  <c r="H25" i="15"/>
  <c r="I33" i="15"/>
  <c r="G37" i="13"/>
  <c r="F27" i="13"/>
  <c r="F28" i="13"/>
  <c r="G28" i="13" s="1"/>
  <c r="G36" i="13"/>
  <c r="G38" i="13"/>
  <c r="G39" i="13"/>
  <c r="G40" i="13"/>
  <c r="F8" i="13"/>
  <c r="G8" i="13" s="1"/>
  <c r="F9" i="13"/>
  <c r="G9" i="13" s="1"/>
  <c r="F11" i="13"/>
  <c r="G11" i="13" s="1"/>
  <c r="H36" i="1" l="1"/>
  <c r="J36" i="1"/>
  <c r="I36" i="1" s="1"/>
  <c r="J37" i="1"/>
  <c r="I37" i="1" s="1"/>
  <c r="H37" i="1"/>
  <c r="H32" i="1"/>
  <c r="J32" i="1"/>
  <c r="G32" i="13"/>
  <c r="G42" i="13" s="1"/>
  <c r="G24" i="1" s="1"/>
  <c r="F42" i="13"/>
  <c r="G17" i="13"/>
  <c r="G20" i="1" s="1"/>
  <c r="F12" i="13"/>
  <c r="F29" i="13"/>
  <c r="F22" i="1" s="1"/>
  <c r="G27" i="13"/>
  <c r="G29" i="13" s="1"/>
  <c r="D32" i="15"/>
  <c r="K33" i="15"/>
  <c r="J33" i="15"/>
  <c r="G12" i="13"/>
  <c r="G21" i="1" s="1"/>
  <c r="G8" i="1"/>
  <c r="G12" i="1" s="1"/>
  <c r="H21" i="1" l="1"/>
  <c r="J21" i="1"/>
  <c r="I21" i="1" s="1"/>
  <c r="H24" i="1"/>
  <c r="J24" i="1"/>
  <c r="I24" i="1" s="1"/>
  <c r="H20" i="1"/>
  <c r="J20" i="1"/>
  <c r="I20" i="1" s="1"/>
  <c r="J8" i="1"/>
  <c r="H8" i="1"/>
  <c r="H12" i="1" s="1"/>
  <c r="G22" i="1"/>
  <c r="G49" i="13"/>
  <c r="E39" i="1" s="1"/>
  <c r="G39" i="1" s="1"/>
  <c r="K21" i="15"/>
  <c r="K20" i="15" s="1"/>
  <c r="G23" i="13"/>
  <c r="G23" i="1" s="1"/>
  <c r="G30" i="1"/>
  <c r="H39" i="1" l="1"/>
  <c r="J39" i="1"/>
  <c r="H22" i="1"/>
  <c r="J22" i="1"/>
  <c r="I22" i="1" s="1"/>
  <c r="H23" i="1"/>
  <c r="J23" i="1"/>
  <c r="I23" i="1" s="1"/>
  <c r="J12" i="1"/>
  <c r="I8" i="1"/>
  <c r="I12" i="1" s="1"/>
  <c r="H30" i="1"/>
  <c r="J30" i="1"/>
  <c r="F31" i="1"/>
  <c r="G31" i="1" s="1"/>
  <c r="J31" i="1" s="1"/>
  <c r="F18" i="1"/>
  <c r="G18" i="1" s="1"/>
  <c r="I39" i="1" l="1"/>
  <c r="I30" i="1"/>
  <c r="I32" i="1"/>
  <c r="I31" i="1"/>
  <c r="J33" i="1"/>
  <c r="H18" i="1"/>
  <c r="H27" i="1" s="1"/>
  <c r="H48" i="1" s="1"/>
  <c r="J18" i="1"/>
  <c r="G33" i="1"/>
  <c r="H31" i="1"/>
  <c r="H33" i="1" s="1"/>
  <c r="G27" i="1"/>
  <c r="H49" i="1" l="1"/>
  <c r="I33" i="1"/>
  <c r="I18" i="1"/>
  <c r="I27" i="1" s="1"/>
  <c r="I48" i="1" s="1"/>
  <c r="I49" i="1" s="1"/>
  <c r="J27" i="1"/>
  <c r="J48" i="1" s="1"/>
  <c r="J49" i="1" s="1"/>
  <c r="G48" i="1"/>
  <c r="G49" i="1" s="1"/>
  <c r="F54" i="13" l="1"/>
  <c r="G56" i="13"/>
  <c r="E40" i="1" s="1"/>
  <c r="G40" i="1" s="1"/>
  <c r="J40" i="1" s="1"/>
  <c r="F56" i="13" l="1"/>
  <c r="J41" i="1"/>
  <c r="J50" i="1" s="1"/>
  <c r="I40" i="1"/>
  <c r="I41" i="1" s="1"/>
  <c r="I50" i="1" s="1"/>
  <c r="H40" i="1"/>
  <c r="H41" i="1" s="1"/>
  <c r="H50" i="1" s="1"/>
  <c r="G41" i="1"/>
  <c r="F44" i="1" l="1"/>
  <c r="G44" i="1" s="1"/>
  <c r="G50" i="1"/>
  <c r="G45" i="1" l="1"/>
  <c r="G51" i="1" s="1"/>
  <c r="J44" i="1"/>
  <c r="H44" i="1"/>
  <c r="H45" i="1" s="1"/>
  <c r="H51" i="1" s="1"/>
  <c r="J45" i="1" l="1"/>
  <c r="J51" i="1" s="1"/>
  <c r="I44" i="1"/>
  <c r="I45" i="1" s="1"/>
  <c r="I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Ingvar Eriksson</author>
    <author>Bouke Vandergaast</author>
  </authors>
  <commentList>
    <comment ref="G17" authorId="0" shapeId="0" xr:uid="{00000000-0006-0000-0300-000001000000}">
      <text>
        <r>
          <rPr>
            <b/>
            <sz val="9"/>
            <color indexed="81"/>
            <rFont val="Tahoma"/>
            <family val="2"/>
          </rPr>
          <t>Ingvar Eriksson:</t>
        </r>
        <r>
          <rPr>
            <sz val="9"/>
            <color indexed="81"/>
            <rFont val="Tahoma"/>
            <family val="2"/>
          </rPr>
          <t xml:space="preserve">
Livsmedelskontroll, 26 öre/kg
Branschutvecklingspeng, 3,50 kr/gris
Stiftelsen Lantbruksforskning, 1 kr/gris
Svenskt kött, 2 kr/gris
</t>
        </r>
      </text>
    </comment>
    <comment ref="F19" authorId="1" shapeId="0" xr:uid="{00000000-0006-0000-0300-000002000000}">
      <text>
        <r>
          <rPr>
            <b/>
            <sz val="9"/>
            <color indexed="81"/>
            <rFont val="Tahoma"/>
            <family val="2"/>
          </rPr>
          <t>Kommer från Mina produktionsnyckeltal.
Foderkostnad per MJ NE</t>
        </r>
      </text>
    </comment>
  </commentList>
</comments>
</file>

<file path=xl/sharedStrings.xml><?xml version="1.0" encoding="utf-8"?>
<sst xmlns="http://schemas.openxmlformats.org/spreadsheetml/2006/main" count="314" uniqueCount="203">
  <si>
    <t>Stallgödsel</t>
  </si>
  <si>
    <t>Smågris</t>
  </si>
  <si>
    <t>Foder</t>
  </si>
  <si>
    <t>Strömedel</t>
  </si>
  <si>
    <t>Nationella stöd</t>
  </si>
  <si>
    <t>Särkostnader 1</t>
  </si>
  <si>
    <t>Byggnader underhåll</t>
  </si>
  <si>
    <t xml:space="preserve">Summa intäkter </t>
  </si>
  <si>
    <t>kr</t>
  </si>
  <si>
    <t>timmar</t>
  </si>
  <si>
    <t>Enhet</t>
  </si>
  <si>
    <t>Pris</t>
  </si>
  <si>
    <t>antal</t>
  </si>
  <si>
    <t>kg</t>
  </si>
  <si>
    <t>Antal</t>
  </si>
  <si>
    <t>Kvantitet</t>
  </si>
  <si>
    <t>Kr</t>
  </si>
  <si>
    <t>Leveransavtal</t>
  </si>
  <si>
    <t>Summa</t>
  </si>
  <si>
    <t>Slaktvikt</t>
  </si>
  <si>
    <t>Dödlighet</t>
  </si>
  <si>
    <t>Dagliga rutiner</t>
  </si>
  <si>
    <t>Tvättning och desinficering</t>
  </si>
  <si>
    <t>Elektricitet</t>
  </si>
  <si>
    <t>Summa särkostnader 1</t>
  </si>
  <si>
    <t>Ränta djurkapital</t>
  </si>
  <si>
    <t>Arbete, anställda</t>
  </si>
  <si>
    <t>Arbete, eget</t>
  </si>
  <si>
    <t>Ränta rörelsekapital</t>
  </si>
  <si>
    <t>liter</t>
  </si>
  <si>
    <t>Intäkter</t>
  </si>
  <si>
    <t>Utbildning</t>
  </si>
  <si>
    <t>st/år</t>
  </si>
  <si>
    <t>Uppvärmning (olja)</t>
  </si>
  <si>
    <t>Uppvärmning (panna)</t>
  </si>
  <si>
    <t>Uppvärmning (el)</t>
  </si>
  <si>
    <t>m^3</t>
  </si>
  <si>
    <t>kWh</t>
  </si>
  <si>
    <t>Vatten</t>
  </si>
  <si>
    <t>Veterinär och medicin</t>
  </si>
  <si>
    <t>Diverse  kostnader</t>
  </si>
  <si>
    <t>El,värme och vatten</t>
  </si>
  <si>
    <t>Övrigt</t>
  </si>
  <si>
    <t>Fyll i dina egna siffror</t>
  </si>
  <si>
    <t>Kostnad</t>
  </si>
  <si>
    <t xml:space="preserve">Veterinär och medicinkostnader </t>
  </si>
  <si>
    <t>kr/år</t>
  </si>
  <si>
    <t>Produktionsrådgivning</t>
  </si>
  <si>
    <t>Summa Produktionsuppföljning</t>
  </si>
  <si>
    <t>Halm</t>
  </si>
  <si>
    <t>Kg</t>
  </si>
  <si>
    <t>Spån</t>
  </si>
  <si>
    <t>Summa Strömedel</t>
  </si>
  <si>
    <t>Kadaverhämtning</t>
  </si>
  <si>
    <t>Bokföring och revisionsarvode</t>
  </si>
  <si>
    <t>Certifiering</t>
  </si>
  <si>
    <t>Förbrukningsmaterial</t>
  </si>
  <si>
    <t>Telefon/ Larm</t>
  </si>
  <si>
    <t>Dator</t>
  </si>
  <si>
    <r>
      <t>Dagliga rutiner</t>
    </r>
    <r>
      <rPr>
        <sz val="8"/>
        <color indexed="8"/>
        <rFont val="Calibri"/>
        <family val="2"/>
      </rPr>
      <t xml:space="preserve"> (utfodr, utgödsl, tillsyn mm)</t>
    </r>
  </si>
  <si>
    <t>Summa Anställd arbetskraft</t>
  </si>
  <si>
    <t>Summa Eget arbete</t>
  </si>
  <si>
    <t>SEK/slaktgris</t>
  </si>
  <si>
    <t>Energiförbrukning per slaktgrisplats</t>
  </si>
  <si>
    <t>62 kWh per slaktgrisplats och år.</t>
  </si>
  <si>
    <t>Omgångstid (veckor):</t>
  </si>
  <si>
    <t>Procent</t>
  </si>
  <si>
    <t>Dagar</t>
  </si>
  <si>
    <t>Antal slaktgrisplatser</t>
  </si>
  <si>
    <t xml:space="preserve">Foder   </t>
  </si>
  <si>
    <t>Antal foderdagar (medeltal)</t>
  </si>
  <si>
    <t>Insatta grisar</t>
  </si>
  <si>
    <t>Slaktade grisar</t>
  </si>
  <si>
    <t>Vikt</t>
  </si>
  <si>
    <t>Medelvikt vid insättning</t>
  </si>
  <si>
    <t>Levandevikt vid slakt</t>
  </si>
  <si>
    <t>Omgångar per år</t>
  </si>
  <si>
    <t xml:space="preserve">Uppfödning </t>
  </si>
  <si>
    <t>Kronor</t>
  </si>
  <si>
    <t>Tillväxthastighet</t>
  </si>
  <si>
    <t>Särkostnader 2</t>
  </si>
  <si>
    <t>Summa särkostnader 2</t>
  </si>
  <si>
    <t>m³</t>
  </si>
  <si>
    <t>Strömedel per år</t>
  </si>
  <si>
    <t>Branschgemensamma avgifter</t>
  </si>
  <si>
    <t>Övriga kostnader - fyll i själv</t>
  </si>
  <si>
    <r>
      <t xml:space="preserve">Försäkring produktion: </t>
    </r>
    <r>
      <rPr>
        <sz val="11"/>
        <color indexed="8"/>
        <rFont val="Calibri"/>
        <family val="2"/>
      </rPr>
      <t>Försäkring av slaktgrisar är ca 1,50 kr per slaktgrisplats och år.</t>
    </r>
    <r>
      <rPr>
        <sz val="9"/>
        <color indexed="8"/>
        <rFont val="Calibri"/>
        <family val="2"/>
      </rPr>
      <t xml:space="preserve"> Källa: Agria</t>
    </r>
  </si>
  <si>
    <t>Försäkring, produktionen</t>
  </si>
  <si>
    <r>
      <t xml:space="preserve">Övriga försäkringar: </t>
    </r>
    <r>
      <rPr>
        <sz val="10"/>
        <color indexed="8"/>
        <rFont val="Calibri"/>
        <family val="2"/>
      </rPr>
      <t>Varierar mellan gårdar. Sätt in den del av gårdsförsäkringen som belastar grisprod.</t>
    </r>
  </si>
  <si>
    <t>Komponenter</t>
  </si>
  <si>
    <t>Vete</t>
  </si>
  <si>
    <t>Korn</t>
  </si>
  <si>
    <t>Havre</t>
  </si>
  <si>
    <t xml:space="preserve">Koncentrat </t>
  </si>
  <si>
    <t>Foderkomponenter</t>
  </si>
  <si>
    <t>kr/kg</t>
  </si>
  <si>
    <t>Slaktgrisfoder</t>
  </si>
  <si>
    <t>Uträkning av foderkostnad</t>
  </si>
  <si>
    <t>för egentillverkat foder</t>
  </si>
  <si>
    <t>Recept, antal kg/100 kg foder</t>
  </si>
  <si>
    <t>Foderförbr/ slaktad gris, kg</t>
  </si>
  <si>
    <t>Kostnad/slaktad gris, kr</t>
  </si>
  <si>
    <t>Vassle/Drank</t>
  </si>
  <si>
    <t xml:space="preserve">Kr per kg foder </t>
  </si>
  <si>
    <t>Antal år</t>
  </si>
  <si>
    <t>Ränta</t>
  </si>
  <si>
    <t>TB 1: Intäkter - Särkostnader 1</t>
  </si>
  <si>
    <t>Byggnader, avskrivning + ränta</t>
  </si>
  <si>
    <r>
      <t xml:space="preserve">Byggnadsinventarier, </t>
    </r>
    <r>
      <rPr>
        <sz val="10"/>
        <rFont val="Calibri"/>
        <family val="2"/>
      </rPr>
      <t xml:space="preserve">avskrivning + ränta </t>
    </r>
  </si>
  <si>
    <t xml:space="preserve">Särkostnader 3 </t>
  </si>
  <si>
    <t>TB 2: Intäkter - Särkostnader 1 och 2</t>
  </si>
  <si>
    <t>TB 3: Intäkter - Särkostnader 1,2 och 3</t>
  </si>
  <si>
    <t>Särkostnader 4</t>
  </si>
  <si>
    <t>Vinst</t>
  </si>
  <si>
    <t>TB 4: Intäkter-Särkostnader 1, 2, 3 och 4</t>
  </si>
  <si>
    <t>procent</t>
  </si>
  <si>
    <t>Summa särkostnader 3</t>
  </si>
  <si>
    <t>Summa särkostnader 4</t>
  </si>
  <si>
    <t>El, värme, vatten per år</t>
  </si>
  <si>
    <t>Summa Grishälsovård, veterinär</t>
  </si>
  <si>
    <t>Kostnad uppföljningsprogram</t>
  </si>
  <si>
    <t>Övriga försäkringar, byggnader etc</t>
  </si>
  <si>
    <t>Övriga konsultarvode</t>
  </si>
  <si>
    <t>Sortering/vägning/flyttning</t>
  </si>
  <si>
    <t>Gram/dag</t>
  </si>
  <si>
    <t>Diverse kostnader per år</t>
  </si>
  <si>
    <t>Summa Diverse kostnader</t>
  </si>
  <si>
    <t>Summa El, värme, vatten</t>
  </si>
  <si>
    <t>MJ NE per kg foder</t>
  </si>
  <si>
    <t>MJ NE per slaktgris</t>
  </si>
  <si>
    <t>Öre per MJ NE</t>
  </si>
  <si>
    <t>MJ NE</t>
  </si>
  <si>
    <t>MJ NE/kilo</t>
  </si>
  <si>
    <t>Kostnad per MJ NE</t>
  </si>
  <si>
    <t>Öre/MJ NE</t>
  </si>
  <si>
    <t>Foderutnyttjande, MJ NE per kilo tillväxt</t>
  </si>
  <si>
    <t>Soja</t>
  </si>
  <si>
    <t>Produktionsuppföljning, WinPig etc</t>
  </si>
  <si>
    <r>
      <t>Vatten:</t>
    </r>
    <r>
      <rPr>
        <sz val="11"/>
        <color indexed="8"/>
        <rFont val="Calibri"/>
        <family val="2"/>
      </rPr>
      <t xml:space="preserve"> </t>
    </r>
    <r>
      <rPr>
        <sz val="10"/>
        <color indexed="8"/>
        <rFont val="Calibri"/>
        <family val="2"/>
      </rPr>
      <t xml:space="preserve">Uppskattat till ca 1 000 l per producerad slaktgris. </t>
    </r>
  </si>
  <si>
    <t>Kostnadsuppskattning finns ej då de flesta har egen brunn.</t>
  </si>
  <si>
    <t>Beräknad halmåtgång per producerad gris är cirka 2 kg</t>
  </si>
  <si>
    <t>Grishälsovård och Smittsäkrad besättn.</t>
  </si>
  <si>
    <t>Produktionsuppföljning, WinPig, etc</t>
  </si>
  <si>
    <t>Årlig systemavgift till Sigill: Antal lev. slaktsvin per år: &lt; 3500 = 1300 kr; 3500 - 5000 = 1900 kr</t>
  </si>
  <si>
    <t>Produktionsnyckeltal</t>
  </si>
  <si>
    <t>Foderkomponenter och priser för eget foder</t>
  </si>
  <si>
    <r>
      <t>Antal producerade grisar</t>
    </r>
    <r>
      <rPr>
        <b/>
        <u/>
        <sz val="12"/>
        <rFont val="Calibri"/>
        <family val="2"/>
      </rPr>
      <t xml:space="preserve">   </t>
    </r>
    <r>
      <rPr>
        <u/>
        <sz val="12"/>
        <rFont val="Calibri"/>
        <family val="2"/>
      </rPr>
      <t>(som kalkylen ska baseras på)</t>
    </r>
  </si>
  <si>
    <t>INFO</t>
  </si>
  <si>
    <t>Arbete, anställd</t>
  </si>
  <si>
    <t xml:space="preserve">Timkostnad, eget arbete:  </t>
  </si>
  <si>
    <t xml:space="preserve">Timkostnad, anställd:  </t>
  </si>
  <si>
    <t xml:space="preserve">Denna kalkyl ger möjligheter för både den som vill göra beräkningar för befintlig produktion men  också för den som vill se om en nyinvestering kan löna sig.                                                                                                                                       </t>
  </si>
  <si>
    <r>
      <rPr>
        <b/>
        <sz val="11"/>
        <rFont val="Calibri"/>
        <family val="2"/>
      </rPr>
      <t>Arbete</t>
    </r>
    <r>
      <rPr>
        <sz val="11"/>
        <rFont val="Calibri"/>
        <family val="2"/>
      </rPr>
      <t xml:space="preserve">
I studien som låg till grund för Pigrapport nr 31 "Arbetstidsåtgång i svensk grisproduktion" var tidsgången i slaktgrisproduktionen  i genomsnitt</t>
    </r>
    <r>
      <rPr>
        <sz val="10"/>
        <rFont val="Calibri"/>
        <family val="2"/>
      </rPr>
      <t xml:space="preserve"> </t>
    </r>
    <r>
      <rPr>
        <u/>
        <sz val="11"/>
        <color indexed="8"/>
        <rFont val="Calibri"/>
        <family val="2"/>
      </rPr>
      <t>14 minuter per producerad slaktgri</t>
    </r>
    <r>
      <rPr>
        <sz val="11"/>
        <color indexed="8"/>
        <rFont val="Calibri"/>
        <family val="2"/>
      </rPr>
      <t>s, vilket motsvarar 0,23 timmar.</t>
    </r>
    <r>
      <rPr>
        <sz val="10"/>
        <rFont val="Calibri"/>
        <family val="2"/>
      </rPr>
      <t xml:space="preserve"> </t>
    </r>
  </si>
  <si>
    <r>
      <t xml:space="preserve"> Källa: </t>
    </r>
    <r>
      <rPr>
        <sz val="11"/>
        <color indexed="8"/>
        <rFont val="Calibri"/>
        <family val="2"/>
      </rPr>
      <t>JTI-rapport 342, Jordbrukets energianvändning</t>
    </r>
  </si>
  <si>
    <t>Antal slaktgrisar per år: &lt; 1000</t>
  </si>
  <si>
    <t xml:space="preserve">                                            1001 - 5000</t>
  </si>
  <si>
    <t xml:space="preserve">                                           5001 - 10000</t>
  </si>
  <si>
    <t xml:space="preserve">                                          10001 och uppåt</t>
  </si>
  <si>
    <t>Årsavgift WinPig slakt</t>
  </si>
  <si>
    <r>
      <rPr>
        <b/>
        <sz val="10"/>
        <rFont val="Calibri"/>
        <family val="2"/>
      </rPr>
      <t xml:space="preserve">Smittsäkrad besättning: </t>
    </r>
    <r>
      <rPr>
        <sz val="10"/>
        <rFont val="Calibri"/>
        <family val="2"/>
      </rPr>
      <t>Anslutn.avg: 1500 kr; Årsprod &lt;1000 slaktsvin 630 kr; 1001-5000 slaktsvin 1160 kr; &gt;5000 slaktsvin 1690 kr</t>
    </r>
  </si>
  <si>
    <r>
      <t>Kadaver:</t>
    </r>
    <r>
      <rPr>
        <sz val="10"/>
        <rFont val="Calibri"/>
        <family val="2"/>
      </rPr>
      <t xml:space="preserve"> Upp till 100 kg, 524 kr. Därutöver 328 kr per påbörjat 100 kg.</t>
    </r>
    <r>
      <rPr>
        <sz val="11"/>
        <rFont val="Calibri"/>
        <family val="2"/>
      </rPr>
      <t xml:space="preserve"> </t>
    </r>
    <r>
      <rPr>
        <sz val="7"/>
        <rFont val="Calibri"/>
        <family val="2"/>
      </rPr>
      <t xml:space="preserve"> </t>
    </r>
    <r>
      <rPr>
        <sz val="8"/>
        <rFont val="Calibri"/>
        <family val="2"/>
      </rPr>
      <t>Källa: Svensk Lantbrukstjänst</t>
    </r>
  </si>
  <si>
    <t>5001 - 8000 = 2400 kr; &gt; 8000 = 3100 kr</t>
  </si>
  <si>
    <t>Grishälsovård, veterinär</t>
  </si>
  <si>
    <t>Kr/år</t>
  </si>
  <si>
    <t>Dina värden
(fyll i de blå fälten)</t>
  </si>
  <si>
    <t>Foderpris per kilo</t>
  </si>
  <si>
    <t>Tid per vecka</t>
  </si>
  <si>
    <t>Genomsnitt från WinPig</t>
  </si>
  <si>
    <t>Beräkningar som är kopplad till ett annat blad. Kommentar finns när man markerar rutan.</t>
  </si>
  <si>
    <t>KONTAKTUPPGIFTER</t>
  </si>
  <si>
    <t>Vid frågor om mallen kontakta:
Gård &amp; Djurhälsan | 0771-216500 | info@gardochdjurhalsan.se</t>
  </si>
  <si>
    <t>Kilogram</t>
  </si>
  <si>
    <t>BIDRAGSKALKYL OCH NYCKELTALSBERÄKNING FÖR SLAKTGRISPRODUKTION</t>
  </si>
  <si>
    <t>KALKYLENS SYFTE</t>
  </si>
  <si>
    <t>INSTRUKTIONER</t>
  </si>
  <si>
    <r>
      <rPr>
        <b/>
        <sz val="10"/>
        <color indexed="8"/>
        <rFont val="Calibri"/>
        <family val="2"/>
      </rPr>
      <t>Medelvärden
per producerad
gris</t>
    </r>
    <r>
      <rPr>
        <b/>
        <sz val="9"/>
        <color indexed="8"/>
        <rFont val="Calibri"/>
        <family val="2"/>
      </rPr>
      <t xml:space="preserve">
(WinPig 2020)</t>
    </r>
  </si>
  <si>
    <r>
      <t xml:space="preserve">Grishälsovård, årsavgift : </t>
    </r>
    <r>
      <rPr>
        <sz val="10"/>
        <color indexed="8"/>
        <rFont val="Calibri"/>
        <family val="2"/>
      </rPr>
      <t>Årsprod &lt;1000 slaktsvin 2900 kr; 1000-5000 slaktsvin 4050 kr; &gt;5000 slaktsvin 4640 kr</t>
    </r>
  </si>
  <si>
    <t>Drank</t>
  </si>
  <si>
    <t>Ärter</t>
  </si>
  <si>
    <r>
      <t>Denna kalkyl består av flera olika flikar.  För att kalkylen ska bli så komplett som möjligt krävs att de</t>
    </r>
    <r>
      <rPr>
        <sz val="11"/>
        <color indexed="17"/>
        <rFont val="Calibri"/>
        <family val="2"/>
        <scheme val="minor"/>
      </rPr>
      <t xml:space="preserve"> </t>
    </r>
    <r>
      <rPr>
        <b/>
        <sz val="11"/>
        <color indexed="57"/>
        <rFont val="Calibri"/>
        <family val="2"/>
        <scheme val="minor"/>
      </rPr>
      <t>grönmarkerade</t>
    </r>
    <r>
      <rPr>
        <sz val="11"/>
        <rFont val="Calibri"/>
        <family val="2"/>
        <scheme val="minor"/>
      </rPr>
      <t xml:space="preserve"> flikarna fylls i fullt ut.  Under fliken </t>
    </r>
    <r>
      <rPr>
        <b/>
        <sz val="11"/>
        <color indexed="57"/>
        <rFont val="Calibri"/>
        <family val="2"/>
        <scheme val="minor"/>
      </rPr>
      <t>Mitt ekonomiska underlag</t>
    </r>
    <r>
      <rPr>
        <sz val="11"/>
        <rFont val="Calibri"/>
        <family val="2"/>
        <scheme val="minor"/>
      </rPr>
      <t xml:space="preserve"> ska du fylla i </t>
    </r>
    <r>
      <rPr>
        <u/>
        <sz val="11"/>
        <rFont val="Calibri"/>
        <family val="2"/>
        <scheme val="minor"/>
      </rPr>
      <t xml:space="preserve">din totala årskostnad </t>
    </r>
    <r>
      <rPr>
        <sz val="11"/>
        <rFont val="Calibri"/>
        <family val="2"/>
        <scheme val="minor"/>
      </rPr>
      <t>för din slaktgrisproduktion. Programmet räknar därefter automatiskt ut hur mycket det blir per producerad gris om du fyllt i rätt antal slaktgrisplatser och antal dagar per omgång.</t>
    </r>
  </si>
  <si>
    <t>Tomtid</t>
  </si>
  <si>
    <t>Omgångstid (från insättning till insätttning)</t>
  </si>
  <si>
    <t>Åtgång, kg foder per producerad gris</t>
  </si>
  <si>
    <t>Åtgång, MJ NE per producerad gris</t>
  </si>
  <si>
    <r>
      <t>Veterinär och medicinkostnad:</t>
    </r>
    <r>
      <rPr>
        <sz val="10"/>
        <rFont val="Calibri"/>
        <family val="2"/>
      </rPr>
      <t xml:space="preserve"> Beror på hälsoläget i besättningen, cirka 2 kr per producerad slaktgris.</t>
    </r>
  </si>
  <si>
    <r>
      <t>Certifiering</t>
    </r>
    <r>
      <rPr>
        <sz val="10"/>
        <rFont val="Calibri"/>
        <family val="2"/>
      </rPr>
      <t>/2 år: E</t>
    </r>
    <r>
      <rPr>
        <sz val="9"/>
        <color indexed="8"/>
        <rFont val="Calibri"/>
        <family val="2"/>
      </rPr>
      <t xml:space="preserve">genkontroll </t>
    </r>
    <r>
      <rPr>
        <sz val="10"/>
        <rFont val="Calibri"/>
        <family val="2"/>
      </rPr>
      <t>1550 kr+r</t>
    </r>
    <r>
      <rPr>
        <sz val="9"/>
        <color indexed="8"/>
        <rFont val="Calibri"/>
        <family val="2"/>
      </rPr>
      <t>evison</t>
    </r>
    <r>
      <rPr>
        <sz val="10"/>
        <rFont val="Calibri"/>
        <family val="2"/>
      </rPr>
      <t xml:space="preserve"> 4 900 kr = 3225 </t>
    </r>
    <r>
      <rPr>
        <sz val="11"/>
        <color indexed="8"/>
        <rFont val="Calibri"/>
        <family val="2"/>
      </rPr>
      <t>kr/år</t>
    </r>
  </si>
  <si>
    <t>Ekonomiskt underlag</t>
  </si>
  <si>
    <t>Kr per slaktgris</t>
  </si>
  <si>
    <t>Kr totalt för stallet</t>
  </si>
  <si>
    <t>Kr per kg</t>
  </si>
  <si>
    <t>Kr per plats</t>
  </si>
  <si>
    <t>Driftkalkyl - Slaktgris</t>
  </si>
  <si>
    <t>Uppfödningstid (från insättning till tömning)</t>
  </si>
  <si>
    <t>Timmar</t>
  </si>
  <si>
    <t>Arbetstid/gris</t>
  </si>
  <si>
    <t>Totalt investerings- belopp</t>
  </si>
  <si>
    <t>Grundförutsättningar</t>
  </si>
  <si>
    <t>st</t>
  </si>
  <si>
    <t>Avräkningspris</t>
  </si>
  <si>
    <r>
      <t xml:space="preserve">Välj Enhet     </t>
    </r>
    <r>
      <rPr>
        <sz val="9"/>
        <rFont val="Calibri"/>
        <family val="2"/>
      </rPr>
      <t xml:space="preserve">välj  här </t>
    </r>
    <r>
      <rPr>
        <sz val="9"/>
        <rFont val="Wingdings 3"/>
        <family val="1"/>
        <charset val="2"/>
      </rPr>
      <t>q</t>
    </r>
  </si>
  <si>
    <t>Tid per omgång</t>
  </si>
  <si>
    <t>Kostnad/gris</t>
  </si>
  <si>
    <t>Version: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</si>
</sst>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kr&quot;;[Red]\-#,##0\ &quot;kr&quot;"/>
    <numFmt numFmtId="164" formatCode="0.0"/>
    <numFmt numFmtId="165" formatCode="0.0%"/>
    <numFmt numFmtId="166" formatCode="#,##0.0"/>
    <numFmt numFmtId="167" formatCode="#,##0.00\ &quot;kr&quot;"/>
    <numFmt numFmtId="168" formatCode="#,##0\ [$kr-41D]"/>
    <numFmt numFmtId="169" formatCode="#,##0\ &quot;kr&quot;"/>
    <numFmt numFmtId="170" formatCode="0&quot; dgr&quot;"/>
    <numFmt numFmtId="171" formatCode="#,##0.0&quot; kg&quot;"/>
    <numFmt numFmtId="172" formatCode="#,##0.00&quot; kr/kg&quot;"/>
    <numFmt numFmtId="173" formatCode="#,##0&quot; kg&quot;"/>
    <numFmt numFmtId="174" formatCode="#,##0.0\ &quot;kr&quot;"/>
    <numFmt numFmtId="175" formatCode="0.0&quot; öre&quot;"/>
    <numFmt numFmtId="177" formatCode="#,##0.00&quot; tim&quot;"/>
  </numFmts>
  <fonts count="69" x14ac:knownFonts="1">
    <font>
      <sz val="10"/>
      <name val="Arial"/>
    </font>
    <font>
      <sz val="10"/>
      <name val="Arial"/>
      <family val="2"/>
    </font>
    <font>
      <sz val="8"/>
      <name val="Arial"/>
      <family val="2"/>
    </font>
    <font>
      <sz val="10"/>
      <name val="Arial"/>
      <family val="2"/>
    </font>
    <font>
      <i/>
      <sz val="10"/>
      <name val="Arial"/>
      <family val="2"/>
    </font>
    <font>
      <sz val="11"/>
      <color indexed="8"/>
      <name val="Calibri"/>
      <family val="2"/>
    </font>
    <font>
      <b/>
      <sz val="11"/>
      <color indexed="8"/>
      <name val="Calibri"/>
      <family val="2"/>
    </font>
    <font>
      <sz val="7"/>
      <name val="Arial"/>
      <family val="2"/>
    </font>
    <font>
      <sz val="7"/>
      <name val="Arial"/>
      <family val="2"/>
    </font>
    <font>
      <b/>
      <u/>
      <sz val="13"/>
      <color indexed="8"/>
      <name val="Calibri"/>
      <family val="2"/>
    </font>
    <font>
      <sz val="10"/>
      <color indexed="8"/>
      <name val="Calibri"/>
      <family val="2"/>
    </font>
    <font>
      <sz val="9"/>
      <color indexed="8"/>
      <name val="Calibri"/>
      <family val="2"/>
    </font>
    <font>
      <sz val="8"/>
      <color indexed="8"/>
      <name val="Calibri"/>
      <family val="2"/>
    </font>
    <font>
      <sz val="11"/>
      <name val="Calibri"/>
      <family val="2"/>
    </font>
    <font>
      <b/>
      <sz val="11"/>
      <name val="Calibri"/>
      <family val="2"/>
    </font>
    <font>
      <u/>
      <sz val="11"/>
      <color indexed="8"/>
      <name val="Calibri"/>
      <family val="2"/>
    </font>
    <font>
      <b/>
      <sz val="10"/>
      <color indexed="8"/>
      <name val="Calibri"/>
      <family val="2"/>
    </font>
    <font>
      <sz val="10"/>
      <name val="Calibri"/>
      <family val="2"/>
    </font>
    <font>
      <b/>
      <sz val="10"/>
      <name val="Calibri"/>
      <family val="2"/>
    </font>
    <font>
      <sz val="11"/>
      <name val="Arial"/>
      <family val="2"/>
    </font>
    <font>
      <sz val="20"/>
      <name val="Calibri"/>
      <family val="2"/>
    </font>
    <font>
      <b/>
      <i/>
      <sz val="11"/>
      <name val="Calibri"/>
      <family val="2"/>
    </font>
    <font>
      <b/>
      <sz val="12"/>
      <name val="Calibri"/>
      <family val="2"/>
    </font>
    <font>
      <sz val="8"/>
      <name val="Calibri"/>
      <family val="2"/>
    </font>
    <font>
      <i/>
      <sz val="11"/>
      <name val="Calibri"/>
      <family val="2"/>
    </font>
    <font>
      <u/>
      <sz val="16"/>
      <name val="Calibri"/>
      <family val="2"/>
    </font>
    <font>
      <sz val="7"/>
      <name val="Calibri"/>
      <family val="2"/>
    </font>
    <font>
      <sz val="10"/>
      <color indexed="9"/>
      <name val="Calibri"/>
      <family val="2"/>
    </font>
    <font>
      <b/>
      <sz val="16"/>
      <name val="Calibri"/>
      <family val="2"/>
    </font>
    <font>
      <sz val="10"/>
      <name val="Calibri"/>
      <family val="2"/>
      <scheme val="minor"/>
    </font>
    <font>
      <sz val="10"/>
      <color indexed="8"/>
      <name val="Calibri"/>
      <family val="2"/>
      <scheme val="minor"/>
    </font>
    <font>
      <b/>
      <sz val="11"/>
      <color theme="0"/>
      <name val="Cambria"/>
      <family val="2"/>
      <scheme val="major"/>
    </font>
    <font>
      <sz val="16"/>
      <color theme="0"/>
      <name val="Cambria"/>
      <family val="2"/>
      <scheme val="major"/>
    </font>
    <font>
      <sz val="22"/>
      <color theme="0"/>
      <name val="Cambria"/>
      <family val="2"/>
      <scheme val="major"/>
    </font>
    <font>
      <b/>
      <sz val="16"/>
      <color theme="0"/>
      <name val="Calibri"/>
      <family val="2"/>
    </font>
    <font>
      <b/>
      <u/>
      <sz val="16"/>
      <color indexed="8"/>
      <name val="Calibri"/>
      <family val="2"/>
    </font>
    <font>
      <b/>
      <u/>
      <sz val="16"/>
      <name val="Calibri"/>
      <family val="2"/>
    </font>
    <font>
      <b/>
      <u/>
      <sz val="16"/>
      <name val="Calibri"/>
      <family val="2"/>
      <scheme val="minor"/>
    </font>
    <font>
      <b/>
      <u/>
      <sz val="12"/>
      <name val="Calibri"/>
      <family val="2"/>
    </font>
    <font>
      <u/>
      <sz val="12"/>
      <name val="Calibri"/>
      <family val="2"/>
    </font>
    <font>
      <b/>
      <sz val="9"/>
      <color indexed="8"/>
      <name val="Calibri"/>
      <family val="2"/>
      <scheme val="minor"/>
    </font>
    <font>
      <b/>
      <sz val="9"/>
      <name val="Calibri"/>
      <family val="2"/>
      <scheme val="minor"/>
    </font>
    <font>
      <b/>
      <sz val="9"/>
      <color indexed="8"/>
      <name val="Calibri"/>
      <family val="2"/>
    </font>
    <font>
      <b/>
      <u/>
      <sz val="14"/>
      <color indexed="8"/>
      <name val="Calibri"/>
      <family val="2"/>
      <scheme val="minor"/>
    </font>
    <font>
      <u/>
      <sz val="16"/>
      <name val="Arial"/>
      <family val="2"/>
    </font>
    <font>
      <b/>
      <sz val="9"/>
      <color indexed="10"/>
      <name val="Calibri"/>
      <family val="2"/>
    </font>
    <font>
      <sz val="10"/>
      <color theme="4" tint="-0.499984740745262"/>
      <name val="Calibri"/>
      <family val="2"/>
    </font>
    <font>
      <sz val="10"/>
      <color theme="4" tint="-0.499984740745262"/>
      <name val="Calibri"/>
      <family val="2"/>
      <scheme val="minor"/>
    </font>
    <font>
      <i/>
      <sz val="10"/>
      <color indexed="8"/>
      <name val="Calibri"/>
      <family val="2"/>
      <scheme val="minor"/>
    </font>
    <font>
      <b/>
      <sz val="10"/>
      <name val="Calibri"/>
      <family val="2"/>
      <scheme val="minor"/>
    </font>
    <font>
      <i/>
      <sz val="10"/>
      <color theme="4" tint="-0.499984740745262"/>
      <name val="Calibri"/>
      <family val="2"/>
      <scheme val="minor"/>
    </font>
    <font>
      <sz val="9"/>
      <name val="Calibri"/>
      <family val="2"/>
    </font>
    <font>
      <sz val="10"/>
      <color theme="3" tint="-0.499984740745262"/>
      <name val="Calibri"/>
      <family val="2"/>
      <scheme val="minor"/>
    </font>
    <font>
      <b/>
      <sz val="11"/>
      <color theme="0"/>
      <name val="Calibri"/>
      <family val="2"/>
      <scheme val="minor"/>
    </font>
    <font>
      <b/>
      <sz val="16"/>
      <color theme="0"/>
      <name val="Calibri"/>
      <family val="2"/>
      <scheme val="minor"/>
    </font>
    <font>
      <sz val="16"/>
      <color theme="0"/>
      <name val="Calibri"/>
      <family val="2"/>
      <scheme val="minor"/>
    </font>
    <font>
      <sz val="22"/>
      <color theme="0"/>
      <name val="Calibri"/>
      <family val="2"/>
      <scheme val="minor"/>
    </font>
    <font>
      <b/>
      <u/>
      <sz val="12"/>
      <name val="Calibri"/>
      <family val="2"/>
      <scheme val="minor"/>
    </font>
    <font>
      <sz val="9"/>
      <color theme="4" tint="-0.499984740745262"/>
      <name val="Calibri"/>
      <family val="2"/>
      <scheme val="minor"/>
    </font>
    <font>
      <sz val="11"/>
      <name val="Calibri"/>
      <family val="2"/>
      <scheme val="minor"/>
    </font>
    <font>
      <sz val="11"/>
      <color indexed="17"/>
      <name val="Calibri"/>
      <family val="2"/>
      <scheme val="minor"/>
    </font>
    <font>
      <b/>
      <sz val="11"/>
      <color indexed="57"/>
      <name val="Calibri"/>
      <family val="2"/>
      <scheme val="minor"/>
    </font>
    <font>
      <u/>
      <sz val="11"/>
      <name val="Calibri"/>
      <family val="2"/>
      <scheme val="minor"/>
    </font>
    <font>
      <sz val="9"/>
      <color indexed="81"/>
      <name val="Tahoma"/>
      <family val="2"/>
    </font>
    <font>
      <b/>
      <sz val="9"/>
      <color indexed="81"/>
      <name val="Tahoma"/>
      <family val="2"/>
    </font>
    <font>
      <sz val="10"/>
      <color theme="0"/>
      <name val="Calibri"/>
      <family val="2"/>
    </font>
    <font>
      <sz val="10"/>
      <color theme="5" tint="-0.249977111117893"/>
      <name val="Calibri"/>
      <family val="2"/>
    </font>
    <font>
      <sz val="9"/>
      <name val="Wingdings 3"/>
      <family val="1"/>
      <charset val="2"/>
    </font>
    <font>
      <sz val="9"/>
      <name val="Calibri"/>
      <family val="2"/>
      <scheme val="minor"/>
    </font>
  </fonts>
  <fills count="16">
    <fill>
      <patternFill patternType="none"/>
    </fill>
    <fill>
      <patternFill patternType="gray125"/>
    </fill>
    <fill>
      <patternFill patternType="solid">
        <fgColor indexed="4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C5D9F1"/>
        <bgColor indexed="64"/>
      </patternFill>
    </fill>
    <fill>
      <patternFill patternType="solid">
        <fgColor rgb="FFF2F2F2"/>
        <bgColor indexed="64"/>
      </patternFill>
    </fill>
  </fills>
  <borders count="24">
    <border>
      <left/>
      <right/>
      <top/>
      <bottom/>
      <diagonal/>
    </border>
    <border>
      <left/>
      <right/>
      <top/>
      <bottom style="thin">
        <color indexed="64"/>
      </bottom>
      <diagonal/>
    </border>
    <border>
      <left/>
      <right/>
      <top style="thick">
        <color theme="0"/>
      </top>
      <bottom style="thick">
        <color theme="0"/>
      </bottom>
      <diagonal/>
    </border>
    <border>
      <left/>
      <right style="thin">
        <color theme="0" tint="-0.34998626667073579"/>
      </right>
      <top/>
      <bottom/>
      <diagonal/>
    </border>
    <border>
      <left style="thin">
        <color theme="0" tint="-0.34998626667073579"/>
      </left>
      <right/>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theme="0"/>
      </left>
      <right style="medium">
        <color theme="0"/>
      </right>
      <top style="thin">
        <color theme="0"/>
      </top>
      <bottom/>
      <diagonal/>
    </border>
    <border>
      <left style="medium">
        <color theme="0"/>
      </left>
      <right style="medium">
        <color theme="0"/>
      </right>
      <top style="thin">
        <color theme="0"/>
      </top>
      <bottom style="thick">
        <color theme="0"/>
      </bottom>
      <diagonal/>
    </border>
    <border>
      <left style="medium">
        <color theme="0"/>
      </left>
      <right style="medium">
        <color theme="0"/>
      </right>
      <top style="medium">
        <color theme="0"/>
      </top>
      <bottom style="medium">
        <color theme="0"/>
      </bottom>
      <diagonal/>
    </border>
    <border>
      <left/>
      <right/>
      <top style="thick">
        <color theme="0"/>
      </top>
      <bottom/>
      <diagonal/>
    </border>
    <border>
      <left/>
      <right style="thick">
        <color theme="0"/>
      </right>
      <top style="thick">
        <color theme="0"/>
      </top>
      <bottom style="thick">
        <color theme="0"/>
      </bottom>
      <diagonal/>
    </border>
    <border>
      <left/>
      <right/>
      <top/>
      <bottom style="thick">
        <color theme="0"/>
      </bottom>
      <diagonal/>
    </border>
    <border>
      <left style="thick">
        <color theme="0"/>
      </left>
      <right/>
      <top/>
      <bottom style="thick">
        <color theme="0"/>
      </bottom>
      <diagonal/>
    </border>
    <border>
      <left/>
      <right/>
      <top style="double">
        <color theme="0" tint="-0.34998626667073579"/>
      </top>
      <bottom style="thick">
        <color theme="0"/>
      </bottom>
      <diagonal/>
    </border>
    <border>
      <left/>
      <right/>
      <top style="thin">
        <color theme="3"/>
      </top>
      <bottom style="thin">
        <color theme="3"/>
      </bottom>
      <diagonal/>
    </border>
    <border>
      <left/>
      <right/>
      <top style="thin">
        <color theme="0" tint="-0.34998626667073579"/>
      </top>
      <bottom/>
      <diagonal/>
    </border>
    <border>
      <left/>
      <right/>
      <top/>
      <bottom style="thin">
        <color theme="0" tint="-0.34998626667073579"/>
      </bottom>
      <diagonal/>
    </border>
    <border>
      <left/>
      <right/>
      <top style="thick">
        <color theme="0"/>
      </top>
      <bottom style="double">
        <color theme="0" tint="-0.34998626667073579"/>
      </bottom>
      <diagonal/>
    </border>
    <border>
      <left/>
      <right style="thick">
        <color theme="0"/>
      </right>
      <top/>
      <bottom style="thick">
        <color theme="0"/>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s>
  <cellStyleXfs count="1">
    <xf numFmtId="0" fontId="0" fillId="0" borderId="0"/>
  </cellStyleXfs>
  <cellXfs count="289">
    <xf numFmtId="0" fontId="0" fillId="0" borderId="0" xfId="0"/>
    <xf numFmtId="0" fontId="9" fillId="0" borderId="0" xfId="0" applyFont="1"/>
    <xf numFmtId="3" fontId="0" fillId="0" borderId="0" xfId="0" applyNumberFormat="1"/>
    <xf numFmtId="0" fontId="13" fillId="0" borderId="0" xfId="0" applyFont="1"/>
    <xf numFmtId="0" fontId="6" fillId="0" borderId="0" xfId="0" applyFont="1"/>
    <xf numFmtId="3" fontId="6" fillId="0" borderId="0" xfId="0" applyNumberFormat="1" applyFont="1"/>
    <xf numFmtId="3" fontId="6" fillId="0" borderId="0" xfId="0" applyNumberFormat="1" applyFont="1" applyAlignment="1">
      <alignment horizontal="center"/>
    </xf>
    <xf numFmtId="0" fontId="17" fillId="0" borderId="0" xfId="0" applyFont="1"/>
    <xf numFmtId="0" fontId="5" fillId="0" borderId="0" xfId="0" applyFont="1"/>
    <xf numFmtId="164" fontId="5" fillId="0" borderId="0" xfId="0" applyNumberFormat="1" applyFont="1"/>
    <xf numFmtId="3" fontId="17" fillId="0" borderId="0" xfId="0" applyNumberFormat="1" applyFont="1"/>
    <xf numFmtId="3" fontId="14" fillId="0" borderId="0" xfId="0" applyNumberFormat="1" applyFont="1" applyAlignment="1">
      <alignment horizontal="center"/>
    </xf>
    <xf numFmtId="3" fontId="13" fillId="0" borderId="0" xfId="0" applyNumberFormat="1" applyFont="1"/>
    <xf numFmtId="164" fontId="13" fillId="0" borderId="0" xfId="0" applyNumberFormat="1" applyFont="1"/>
    <xf numFmtId="2" fontId="13" fillId="0" borderId="0" xfId="0" applyNumberFormat="1" applyFont="1"/>
    <xf numFmtId="2" fontId="17" fillId="0" borderId="0" xfId="0" applyNumberFormat="1" applyFont="1"/>
    <xf numFmtId="2" fontId="0" fillId="0" borderId="0" xfId="0" applyNumberFormat="1"/>
    <xf numFmtId="4" fontId="17" fillId="0" borderId="0" xfId="0" applyNumberFormat="1" applyFont="1"/>
    <xf numFmtId="0" fontId="17" fillId="0" borderId="0" xfId="0" applyFont="1" applyAlignment="1">
      <alignment wrapText="1"/>
    </xf>
    <xf numFmtId="0" fontId="29" fillId="0" borderId="0" xfId="0" applyFont="1"/>
    <xf numFmtId="0" fontId="17" fillId="0" borderId="0" xfId="0" applyFont="1" applyAlignment="1">
      <alignment vertical="center"/>
    </xf>
    <xf numFmtId="0" fontId="14" fillId="0" borderId="0" xfId="0" applyFont="1" applyAlignment="1">
      <alignment vertical="center"/>
    </xf>
    <xf numFmtId="0" fontId="0" fillId="0" borderId="0" xfId="0" applyAlignment="1">
      <alignment horizontal="center"/>
    </xf>
    <xf numFmtId="0" fontId="0" fillId="0" borderId="0" xfId="0" applyAlignment="1">
      <alignment vertical="center"/>
    </xf>
    <xf numFmtId="0" fontId="35" fillId="0" borderId="0" xfId="0" applyFont="1"/>
    <xf numFmtId="0" fontId="13" fillId="0" borderId="0" xfId="0" applyFont="1" applyAlignment="1">
      <alignment vertical="center"/>
    </xf>
    <xf numFmtId="0" fontId="5" fillId="0" borderId="0" xfId="0" applyFont="1" applyAlignment="1">
      <alignment vertical="center"/>
    </xf>
    <xf numFmtId="165" fontId="13" fillId="0" borderId="0" xfId="0" applyNumberFormat="1" applyFont="1" applyAlignment="1">
      <alignment vertical="center"/>
    </xf>
    <xf numFmtId="2" fontId="13" fillId="0" borderId="0" xfId="0" applyNumberFormat="1" applyFont="1" applyAlignment="1">
      <alignment vertical="center"/>
    </xf>
    <xf numFmtId="3" fontId="13" fillId="0" borderId="0" xfId="0" applyNumberFormat="1" applyFont="1" applyAlignment="1">
      <alignment vertical="center"/>
    </xf>
    <xf numFmtId="166" fontId="13" fillId="0" borderId="0" xfId="0" applyNumberFormat="1" applyFont="1" applyAlignment="1">
      <alignment vertical="center"/>
    </xf>
    <xf numFmtId="0" fontId="19" fillId="0" borderId="0" xfId="0" applyFont="1" applyAlignment="1">
      <alignment vertical="center"/>
    </xf>
    <xf numFmtId="3" fontId="19" fillId="0" borderId="0" xfId="0" applyNumberFormat="1" applyFont="1" applyAlignment="1">
      <alignment vertical="center"/>
    </xf>
    <xf numFmtId="164" fontId="13" fillId="0" borderId="0" xfId="0" applyNumberFormat="1" applyFont="1" applyAlignment="1">
      <alignment vertical="center"/>
    </xf>
    <xf numFmtId="0" fontId="36" fillId="0" borderId="0" xfId="0" applyFont="1" applyAlignment="1">
      <alignment vertical="center"/>
    </xf>
    <xf numFmtId="0" fontId="35" fillId="0" borderId="0" xfId="0" applyFont="1" applyAlignment="1">
      <alignment vertical="center"/>
    </xf>
    <xf numFmtId="0" fontId="17" fillId="0" borderId="3" xfId="0" applyFont="1" applyBorder="1"/>
    <xf numFmtId="0" fontId="17" fillId="0" borderId="4" xfId="0" applyFont="1" applyBorder="1"/>
    <xf numFmtId="0" fontId="13" fillId="0" borderId="3" xfId="0" applyFont="1" applyBorder="1" applyAlignment="1">
      <alignment vertical="center"/>
    </xf>
    <xf numFmtId="0" fontId="13" fillId="0" borderId="4"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7" fillId="0" borderId="0" xfId="0" applyFont="1"/>
    <xf numFmtId="0" fontId="31" fillId="6" borderId="1" xfId="0" applyFont="1" applyFill="1" applyBorder="1" applyAlignment="1">
      <alignment vertical="center"/>
    </xf>
    <xf numFmtId="1" fontId="33" fillId="6" borderId="1" xfId="0" applyNumberFormat="1" applyFont="1" applyFill="1" applyBorder="1" applyAlignment="1">
      <alignment vertical="center" shrinkToFit="1"/>
    </xf>
    <xf numFmtId="0" fontId="29" fillId="8" borderId="8" xfId="0" applyFont="1" applyFill="1" applyBorder="1" applyAlignment="1">
      <alignment horizontal="center" vertical="center"/>
    </xf>
    <xf numFmtId="0" fontId="30" fillId="8" borderId="9" xfId="0" applyFont="1" applyFill="1" applyBorder="1" applyAlignment="1">
      <alignment horizontal="center" vertical="center"/>
    </xf>
    <xf numFmtId="3" fontId="17" fillId="8" borderId="10" xfId="0" applyNumberFormat="1" applyFont="1" applyFill="1" applyBorder="1" applyAlignment="1">
      <alignment vertical="center"/>
    </xf>
    <xf numFmtId="2" fontId="17" fillId="8" borderId="10" xfId="0" applyNumberFormat="1" applyFont="1" applyFill="1" applyBorder="1" applyAlignment="1">
      <alignment vertical="center"/>
    </xf>
    <xf numFmtId="0" fontId="16" fillId="0" borderId="0" xfId="0" applyFont="1" applyAlignment="1">
      <alignment horizontal="center" wrapText="1"/>
    </xf>
    <xf numFmtId="3" fontId="18" fillId="0" borderId="0" xfId="0" applyNumberFormat="1" applyFont="1" applyAlignment="1">
      <alignment horizontal="center" wrapText="1"/>
    </xf>
    <xf numFmtId="0" fontId="42" fillId="0" borderId="0" xfId="0" applyFont="1" applyAlignment="1">
      <alignment wrapText="1"/>
    </xf>
    <xf numFmtId="0" fontId="42" fillId="0" borderId="0" xfId="0" applyFont="1" applyAlignment="1">
      <alignment horizontal="center" wrapText="1"/>
    </xf>
    <xf numFmtId="0" fontId="43" fillId="0" borderId="0" xfId="0" applyFont="1" applyAlignment="1">
      <alignment vertical="center"/>
    </xf>
    <xf numFmtId="0" fontId="17" fillId="0" borderId="0" xfId="0" applyFont="1" applyAlignment="1">
      <alignment horizontal="center"/>
    </xf>
    <xf numFmtId="4" fontId="6" fillId="0" borderId="0" xfId="0" applyNumberFormat="1" applyFont="1"/>
    <xf numFmtId="0" fontId="44" fillId="0" borderId="0" xfId="0" applyFont="1"/>
    <xf numFmtId="0" fontId="25" fillId="0" borderId="0" xfId="0" applyFont="1"/>
    <xf numFmtId="0" fontId="17" fillId="8" borderId="6" xfId="0" applyFont="1" applyFill="1" applyBorder="1" applyAlignment="1">
      <alignment vertical="center"/>
    </xf>
    <xf numFmtId="0" fontId="6" fillId="0" borderId="0" xfId="0" applyFont="1" applyAlignment="1">
      <alignment vertical="center"/>
    </xf>
    <xf numFmtId="0" fontId="17" fillId="0" borderId="0" xfId="0" applyFont="1" applyAlignment="1">
      <alignment horizontal="center" vertical="center"/>
    </xf>
    <xf numFmtId="167" fontId="17" fillId="8" borderId="6" xfId="0" applyNumberFormat="1" applyFont="1" applyFill="1" applyBorder="1" applyAlignment="1">
      <alignment vertical="center"/>
    </xf>
    <xf numFmtId="169" fontId="17" fillId="8" borderId="6" xfId="0" applyNumberFormat="1" applyFont="1" applyFill="1" applyBorder="1" applyAlignment="1">
      <alignment vertical="center"/>
    </xf>
    <xf numFmtId="3" fontId="17" fillId="0" borderId="0" xfId="0" applyNumberFormat="1" applyFont="1" applyAlignment="1">
      <alignment horizontal="center"/>
    </xf>
    <xf numFmtId="0" fontId="6" fillId="9" borderId="2" xfId="0" applyFont="1" applyFill="1" applyBorder="1" applyAlignment="1">
      <alignment vertical="center"/>
    </xf>
    <xf numFmtId="3" fontId="6" fillId="9" borderId="2" xfId="0" applyNumberFormat="1" applyFont="1" applyFill="1" applyBorder="1" applyAlignment="1">
      <alignment horizontal="center" vertical="center"/>
    </xf>
    <xf numFmtId="0" fontId="6" fillId="9" borderId="14" xfId="0" applyFont="1" applyFill="1" applyBorder="1" applyAlignment="1">
      <alignment vertical="center"/>
    </xf>
    <xf numFmtId="0" fontId="27" fillId="0" borderId="0" xfId="0" applyFont="1" applyAlignment="1">
      <alignment vertical="center"/>
    </xf>
    <xf numFmtId="1" fontId="27" fillId="0" borderId="0" xfId="0" applyNumberFormat="1" applyFont="1" applyAlignment="1">
      <alignment horizontal="center" vertical="center"/>
    </xf>
    <xf numFmtId="3" fontId="17" fillId="0" borderId="0" xfId="0" applyNumberFormat="1" applyFont="1" applyAlignment="1">
      <alignment horizontal="right" vertical="center"/>
    </xf>
    <xf numFmtId="0" fontId="17" fillId="0" borderId="0" xfId="0" applyFont="1" applyAlignment="1">
      <alignment horizontal="left"/>
    </xf>
    <xf numFmtId="0" fontId="0" fillId="0" borderId="0" xfId="0" applyAlignment="1">
      <alignment horizontal="center" vertical="center"/>
    </xf>
    <xf numFmtId="0" fontId="25" fillId="0" borderId="0" xfId="0" applyFont="1" applyAlignment="1">
      <alignment vertical="center"/>
    </xf>
    <xf numFmtId="0" fontId="20" fillId="0" borderId="0" xfId="0" applyFont="1" applyAlignment="1">
      <alignment vertical="center"/>
    </xf>
    <xf numFmtId="164" fontId="14" fillId="0" borderId="0" xfId="0" applyNumberFormat="1" applyFont="1" applyAlignment="1">
      <alignment vertical="center"/>
    </xf>
    <xf numFmtId="3" fontId="13" fillId="0" borderId="0" xfId="0" applyNumberFormat="1" applyFont="1" applyAlignment="1">
      <alignment horizontal="center" vertical="center"/>
    </xf>
    <xf numFmtId="0" fontId="13" fillId="0" borderId="0" xfId="0" applyFont="1" applyAlignment="1">
      <alignment horizontal="left" vertical="center"/>
    </xf>
    <xf numFmtId="0" fontId="21" fillId="0" borderId="0" xfId="0" applyFont="1" applyAlignment="1">
      <alignment horizontal="left" vertical="center"/>
    </xf>
    <xf numFmtId="9" fontId="13" fillId="0" borderId="0" xfId="0" applyNumberFormat="1" applyFont="1" applyAlignment="1">
      <alignment horizontal="center" vertical="center"/>
    </xf>
    <xf numFmtId="0" fontId="7" fillId="0" borderId="0" xfId="0" applyFont="1" applyAlignment="1">
      <alignment vertical="center" wrapText="1"/>
    </xf>
    <xf numFmtId="0" fontId="8" fillId="0" borderId="0" xfId="0" applyFont="1" applyAlignment="1">
      <alignment horizontal="center" vertical="center"/>
    </xf>
    <xf numFmtId="2" fontId="0" fillId="0" borderId="0" xfId="0" applyNumberFormat="1" applyAlignment="1">
      <alignment vertical="center"/>
    </xf>
    <xf numFmtId="164" fontId="0" fillId="0" borderId="0" xfId="0" applyNumberFormat="1" applyAlignment="1">
      <alignment vertical="center"/>
    </xf>
    <xf numFmtId="0" fontId="24" fillId="0" borderId="0" xfId="0" applyFont="1" applyAlignment="1">
      <alignment vertical="center"/>
    </xf>
    <xf numFmtId="2" fontId="1" fillId="0" borderId="0" xfId="0" applyNumberFormat="1" applyFont="1" applyAlignment="1">
      <alignment vertical="center"/>
    </xf>
    <xf numFmtId="0" fontId="17" fillId="8" borderId="5" xfId="0" applyFont="1" applyFill="1" applyBorder="1" applyAlignment="1">
      <alignment vertical="center"/>
    </xf>
    <xf numFmtId="0" fontId="17" fillId="8" borderId="14" xfId="0" applyFont="1" applyFill="1" applyBorder="1" applyAlignment="1">
      <alignment vertical="center"/>
    </xf>
    <xf numFmtId="0" fontId="17" fillId="8" borderId="0" xfId="0" applyFont="1" applyFill="1" applyAlignment="1">
      <alignment wrapText="1"/>
    </xf>
    <xf numFmtId="169" fontId="14" fillId="9" borderId="6" xfId="0" applyNumberFormat="1" applyFont="1" applyFill="1" applyBorder="1" applyAlignment="1">
      <alignment vertical="center"/>
    </xf>
    <xf numFmtId="0" fontId="14" fillId="9" borderId="5" xfId="0" applyFont="1" applyFill="1" applyBorder="1" applyAlignment="1">
      <alignment vertical="center"/>
    </xf>
    <xf numFmtId="0" fontId="17" fillId="9" borderId="2" xfId="0" applyFont="1" applyFill="1" applyBorder="1" applyAlignment="1">
      <alignment vertical="center"/>
    </xf>
    <xf numFmtId="0" fontId="21" fillId="9" borderId="2" xfId="0" applyFont="1" applyFill="1" applyBorder="1" applyAlignment="1">
      <alignment vertical="center"/>
    </xf>
    <xf numFmtId="0" fontId="13" fillId="9" borderId="14" xfId="0" applyFont="1" applyFill="1" applyBorder="1" applyAlignment="1">
      <alignment vertical="center"/>
    </xf>
    <xf numFmtId="0" fontId="14" fillId="9" borderId="16" xfId="0" applyFont="1" applyFill="1" applyBorder="1" applyAlignment="1">
      <alignment vertical="center"/>
    </xf>
    <xf numFmtId="0" fontId="17" fillId="9" borderId="15" xfId="0" applyFont="1" applyFill="1" applyBorder="1" applyAlignment="1">
      <alignment vertical="center"/>
    </xf>
    <xf numFmtId="0" fontId="17" fillId="8" borderId="7" xfId="0" applyFont="1" applyFill="1" applyBorder="1" applyAlignment="1">
      <alignment vertical="center"/>
    </xf>
    <xf numFmtId="0" fontId="17" fillId="0" borderId="15" xfId="0" applyFont="1" applyBorder="1" applyAlignment="1">
      <alignment vertical="center"/>
    </xf>
    <xf numFmtId="0" fontId="14" fillId="9" borderId="2" xfId="0" applyFont="1" applyFill="1" applyBorder="1" applyAlignment="1">
      <alignment vertical="center"/>
    </xf>
    <xf numFmtId="0" fontId="17" fillId="0" borderId="2" xfId="0" applyFont="1" applyBorder="1" applyAlignment="1">
      <alignment vertical="center"/>
    </xf>
    <xf numFmtId="0" fontId="13" fillId="0" borderId="13" xfId="0" applyFont="1" applyBorder="1" applyAlignment="1">
      <alignment vertical="center"/>
    </xf>
    <xf numFmtId="0" fontId="17" fillId="0" borderId="13" xfId="0" applyFont="1" applyBorder="1" applyAlignment="1">
      <alignment vertical="center"/>
    </xf>
    <xf numFmtId="167" fontId="17" fillId="8" borderId="6" xfId="0" applyNumberFormat="1" applyFont="1" applyFill="1" applyBorder="1" applyAlignment="1">
      <alignment horizontal="center" vertical="center"/>
    </xf>
    <xf numFmtId="0" fontId="22" fillId="9" borderId="2" xfId="0" applyFont="1" applyFill="1" applyBorder="1" applyAlignment="1">
      <alignment vertical="center"/>
    </xf>
    <xf numFmtId="167" fontId="14" fillId="9" borderId="6" xfId="0" applyNumberFormat="1" applyFont="1" applyFill="1" applyBorder="1" applyAlignment="1">
      <alignment vertical="center"/>
    </xf>
    <xf numFmtId="0" fontId="17" fillId="8" borderId="12" xfId="0" applyFont="1" applyFill="1" applyBorder="1" applyAlignment="1">
      <alignment vertical="center"/>
    </xf>
    <xf numFmtId="3" fontId="17" fillId="8" borderId="12" xfId="0" applyNumberFormat="1" applyFont="1" applyFill="1" applyBorder="1" applyAlignment="1">
      <alignment vertical="center"/>
    </xf>
    <xf numFmtId="1" fontId="17" fillId="4" borderId="12" xfId="0" applyNumberFormat="1" applyFont="1" applyFill="1" applyBorder="1" applyAlignment="1">
      <alignment horizontal="center" vertical="center"/>
    </xf>
    <xf numFmtId="2" fontId="17" fillId="8" borderId="12" xfId="0" applyNumberFormat="1" applyFont="1" applyFill="1" applyBorder="1" applyAlignment="1">
      <alignment vertical="center"/>
    </xf>
    <xf numFmtId="0" fontId="17" fillId="4" borderId="12" xfId="0" applyFont="1" applyFill="1" applyBorder="1" applyAlignment="1">
      <alignment horizontal="center" vertical="center"/>
    </xf>
    <xf numFmtId="0" fontId="16" fillId="8" borderId="10" xfId="0" applyFont="1" applyFill="1" applyBorder="1" applyAlignment="1">
      <alignment vertical="center"/>
    </xf>
    <xf numFmtId="2" fontId="17" fillId="9" borderId="12" xfId="0" applyNumberFormat="1" applyFont="1" applyFill="1" applyBorder="1" applyAlignment="1">
      <alignment horizontal="center" vertical="center"/>
    </xf>
    <xf numFmtId="167" fontId="29" fillId="8" borderId="5" xfId="0" applyNumberFormat="1" applyFont="1" applyFill="1" applyBorder="1" applyAlignment="1">
      <alignment horizontal="center" vertical="center"/>
    </xf>
    <xf numFmtId="0" fontId="3" fillId="8" borderId="7" xfId="0" applyFont="1" applyFill="1" applyBorder="1" applyAlignment="1">
      <alignment horizontal="center" vertical="center"/>
    </xf>
    <xf numFmtId="171" fontId="29" fillId="9" borderId="6" xfId="0" applyNumberFormat="1" applyFont="1" applyFill="1" applyBorder="1" applyAlignment="1">
      <alignment horizontal="center" vertical="center"/>
    </xf>
    <xf numFmtId="169" fontId="29" fillId="9" borderId="6" xfId="0" applyNumberFormat="1" applyFont="1" applyFill="1" applyBorder="1" applyAlignment="1">
      <alignment horizontal="center" vertical="center"/>
    </xf>
    <xf numFmtId="0" fontId="49" fillId="8" borderId="2" xfId="0" applyFont="1" applyFill="1" applyBorder="1" applyAlignment="1">
      <alignment horizontal="left" vertical="center" indent="1"/>
    </xf>
    <xf numFmtId="171" fontId="49" fillId="9" borderId="6" xfId="0" applyNumberFormat="1" applyFont="1" applyFill="1" applyBorder="1" applyAlignment="1">
      <alignment horizontal="center" vertical="center"/>
    </xf>
    <xf numFmtId="169" fontId="49" fillId="9" borderId="6" xfId="0" applyNumberFormat="1" applyFont="1" applyFill="1" applyBorder="1" applyAlignment="1">
      <alignment horizontal="center" vertical="center"/>
    </xf>
    <xf numFmtId="0" fontId="28" fillId="0" borderId="0" xfId="0" applyFont="1" applyAlignment="1">
      <alignment vertical="center"/>
    </xf>
    <xf numFmtId="165" fontId="17" fillId="4" borderId="12" xfId="0" applyNumberFormat="1" applyFont="1" applyFill="1" applyBorder="1" applyAlignment="1">
      <alignment horizontal="center" vertical="center"/>
    </xf>
    <xf numFmtId="164" fontId="17" fillId="4" borderId="12" xfId="0" applyNumberFormat="1" applyFont="1" applyFill="1" applyBorder="1" applyAlignment="1">
      <alignment horizontal="center" vertical="center"/>
    </xf>
    <xf numFmtId="6" fontId="17" fillId="8" borderId="0" xfId="0" applyNumberFormat="1" applyFont="1" applyFill="1" applyAlignment="1">
      <alignment horizontal="left" vertical="center"/>
    </xf>
    <xf numFmtId="164" fontId="46" fillId="9" borderId="12" xfId="0" applyNumberFormat="1" applyFont="1" applyFill="1" applyBorder="1" applyAlignment="1">
      <alignment horizontal="center" vertical="center"/>
    </xf>
    <xf numFmtId="1" fontId="46" fillId="9" borderId="12" xfId="0" applyNumberFormat="1" applyFont="1" applyFill="1" applyBorder="1" applyAlignment="1">
      <alignment horizontal="center" vertical="center"/>
    </xf>
    <xf numFmtId="165" fontId="46" fillId="9" borderId="12" xfId="0" applyNumberFormat="1" applyFont="1" applyFill="1" applyBorder="1" applyAlignment="1">
      <alignment horizontal="center" vertical="center"/>
    </xf>
    <xf numFmtId="169" fontId="17" fillId="8" borderId="6" xfId="0" applyNumberFormat="1" applyFont="1" applyFill="1" applyBorder="1" applyAlignment="1">
      <alignment horizontal="center" vertical="center"/>
    </xf>
    <xf numFmtId="169" fontId="17" fillId="8" borderId="7" xfId="0" applyNumberFormat="1" applyFont="1" applyFill="1" applyBorder="1" applyAlignment="1">
      <alignment horizontal="center" vertical="center"/>
    </xf>
    <xf numFmtId="3" fontId="17" fillId="10" borderId="6" xfId="0" applyNumberFormat="1" applyFont="1" applyFill="1" applyBorder="1" applyAlignment="1" applyProtection="1">
      <alignment horizontal="center" vertical="center"/>
      <protection locked="0"/>
    </xf>
    <xf numFmtId="169" fontId="17" fillId="10" borderId="6" xfId="0" applyNumberFormat="1" applyFont="1" applyFill="1" applyBorder="1" applyAlignment="1" applyProtection="1">
      <alignment horizontal="center" vertical="center"/>
      <protection locked="0"/>
    </xf>
    <xf numFmtId="0" fontId="17" fillId="0" borderId="15" xfId="0" applyFont="1" applyBorder="1"/>
    <xf numFmtId="0" fontId="17" fillId="0" borderId="15" xfId="0" applyFont="1" applyBorder="1" applyAlignment="1">
      <alignment horizontal="center"/>
    </xf>
    <xf numFmtId="0" fontId="0" fillId="10" borderId="0" xfId="0" applyFill="1" applyAlignment="1">
      <alignment vertical="center"/>
    </xf>
    <xf numFmtId="169" fontId="17" fillId="10" borderId="14" xfId="0" applyNumberFormat="1" applyFont="1" applyFill="1" applyBorder="1" applyAlignment="1" applyProtection="1">
      <alignment vertical="center"/>
      <protection locked="0"/>
    </xf>
    <xf numFmtId="0" fontId="17" fillId="8" borderId="0" xfId="0" applyFont="1" applyFill="1" applyAlignment="1">
      <alignment horizontal="right" vertical="center" indent="2"/>
    </xf>
    <xf numFmtId="6" fontId="17" fillId="8" borderId="0" xfId="0" applyNumberFormat="1" applyFont="1" applyFill="1" applyAlignment="1">
      <alignment horizontal="right" vertical="center" indent="2"/>
    </xf>
    <xf numFmtId="167" fontId="17" fillId="12" borderId="6" xfId="0" applyNumberFormat="1" applyFont="1" applyFill="1" applyBorder="1" applyAlignment="1" applyProtection="1">
      <alignment horizontal="center" vertical="center"/>
      <protection locked="0"/>
    </xf>
    <xf numFmtId="3" fontId="46" fillId="12" borderId="11" xfId="0" applyNumberFormat="1" applyFont="1" applyFill="1" applyBorder="1" applyAlignment="1" applyProtection="1">
      <alignment horizontal="center" vertical="center"/>
      <protection locked="0"/>
    </xf>
    <xf numFmtId="172" fontId="47" fillId="12" borderId="5" xfId="0" applyNumberFormat="1" applyFont="1" applyFill="1" applyBorder="1" applyAlignment="1" applyProtection="1">
      <alignment horizontal="center" vertical="center"/>
      <protection locked="0"/>
    </xf>
    <xf numFmtId="170" fontId="46" fillId="12" borderId="12" xfId="0" applyNumberFormat="1" applyFont="1" applyFill="1" applyBorder="1" applyAlignment="1" applyProtection="1">
      <alignment horizontal="center" vertical="center"/>
      <protection locked="0"/>
    </xf>
    <xf numFmtId="0" fontId="50" fillId="12" borderId="2" xfId="0" applyFont="1" applyFill="1" applyBorder="1" applyAlignment="1" applyProtection="1">
      <alignment horizontal="left" vertical="center" indent="1"/>
      <protection locked="0"/>
    </xf>
    <xf numFmtId="3" fontId="46" fillId="12" borderId="12" xfId="0" applyNumberFormat="1" applyFont="1" applyFill="1" applyBorder="1" applyAlignment="1" applyProtection="1">
      <alignment horizontal="center" vertical="center"/>
      <protection locked="0"/>
    </xf>
    <xf numFmtId="164" fontId="47" fillId="12" borderId="5" xfId="0" applyNumberFormat="1" applyFont="1" applyFill="1" applyBorder="1" applyAlignment="1" applyProtection="1">
      <alignment horizontal="center" vertical="center"/>
      <protection locked="0"/>
    </xf>
    <xf numFmtId="1" fontId="47" fillId="12" borderId="5" xfId="0" applyNumberFormat="1" applyFont="1" applyFill="1" applyBorder="1" applyAlignment="1" applyProtection="1">
      <alignment horizontal="center" vertical="center"/>
      <protection locked="0"/>
    </xf>
    <xf numFmtId="164" fontId="46" fillId="12" borderId="12" xfId="0" applyNumberFormat="1" applyFont="1" applyFill="1" applyBorder="1" applyAlignment="1" applyProtection="1">
      <alignment horizontal="center" vertical="center"/>
      <protection locked="0"/>
    </xf>
    <xf numFmtId="171" fontId="47" fillId="12" borderId="6" xfId="0" applyNumberFormat="1" applyFont="1" applyFill="1" applyBorder="1" applyAlignment="1" applyProtection="1">
      <alignment horizontal="center" vertical="center"/>
      <protection locked="0"/>
    </xf>
    <xf numFmtId="1" fontId="46" fillId="12" borderId="12" xfId="0" applyNumberFormat="1" applyFont="1" applyFill="1" applyBorder="1" applyAlignment="1" applyProtection="1">
      <alignment horizontal="center" vertical="center"/>
      <protection locked="0"/>
    </xf>
    <xf numFmtId="0" fontId="46" fillId="12" borderId="12" xfId="0" applyFont="1" applyFill="1" applyBorder="1" applyAlignment="1" applyProtection="1">
      <alignment horizontal="center" vertical="center"/>
      <protection locked="0"/>
    </xf>
    <xf numFmtId="3" fontId="17" fillId="12" borderId="6" xfId="0" applyNumberFormat="1" applyFont="1" applyFill="1" applyBorder="1" applyAlignment="1" applyProtection="1">
      <alignment horizontal="center" vertical="center"/>
      <protection locked="0"/>
    </xf>
    <xf numFmtId="169" fontId="17" fillId="12" borderId="5" xfId="0" applyNumberFormat="1" applyFont="1" applyFill="1" applyBorder="1" applyAlignment="1" applyProtection="1">
      <alignment vertical="center"/>
      <protection locked="0"/>
    </xf>
    <xf numFmtId="173" fontId="17" fillId="12" borderId="6" xfId="0" applyNumberFormat="1" applyFont="1" applyFill="1" applyBorder="1" applyAlignment="1" applyProtection="1">
      <alignment horizontal="center" vertical="center"/>
      <protection locked="0"/>
    </xf>
    <xf numFmtId="169" fontId="17" fillId="12" borderId="6" xfId="0" applyNumberFormat="1" applyFont="1" applyFill="1" applyBorder="1" applyAlignment="1" applyProtection="1">
      <alignment horizontal="center" vertical="center"/>
      <protection locked="0"/>
    </xf>
    <xf numFmtId="168" fontId="22" fillId="12" borderId="0" xfId="0" applyNumberFormat="1" applyFont="1" applyFill="1" applyAlignment="1" applyProtection="1">
      <alignment horizontal="center" vertical="center"/>
      <protection locked="0"/>
    </xf>
    <xf numFmtId="169" fontId="17" fillId="12" borderId="6" xfId="0" applyNumberFormat="1" applyFont="1" applyFill="1" applyBorder="1" applyAlignment="1" applyProtection="1">
      <alignment vertical="center"/>
      <protection locked="0"/>
    </xf>
    <xf numFmtId="0" fontId="17" fillId="12" borderId="6" xfId="0" applyFont="1" applyFill="1" applyBorder="1" applyAlignment="1" applyProtection="1">
      <alignment vertical="center"/>
      <protection locked="0"/>
    </xf>
    <xf numFmtId="165" fontId="17" fillId="12" borderId="6" xfId="0" applyNumberFormat="1" applyFont="1" applyFill="1" applyBorder="1" applyAlignment="1" applyProtection="1">
      <alignment horizontal="center" vertical="center"/>
      <protection locked="0"/>
    </xf>
    <xf numFmtId="175" fontId="46" fillId="11" borderId="12" xfId="0" applyNumberFormat="1" applyFont="1" applyFill="1" applyBorder="1" applyAlignment="1">
      <alignment horizontal="center" vertical="center"/>
    </xf>
    <xf numFmtId="167" fontId="46" fillId="12" borderId="12" xfId="0" applyNumberFormat="1" applyFont="1" applyFill="1" applyBorder="1" applyAlignment="1" applyProtection="1">
      <alignment horizontal="center" vertical="center"/>
      <protection locked="0"/>
    </xf>
    <xf numFmtId="0" fontId="17" fillId="8" borderId="0" xfId="0" applyFont="1" applyFill="1" applyAlignment="1">
      <alignment vertical="center"/>
    </xf>
    <xf numFmtId="0" fontId="16" fillId="8" borderId="0" xfId="0" applyFont="1" applyFill="1" applyAlignment="1">
      <alignment vertical="center"/>
    </xf>
    <xf numFmtId="0" fontId="17" fillId="8" borderId="0" xfId="0" applyFont="1" applyFill="1"/>
    <xf numFmtId="0" fontId="29" fillId="0" borderId="0" xfId="0" applyFont="1" applyAlignment="1">
      <alignment vertical="center"/>
    </xf>
    <xf numFmtId="0" fontId="53" fillId="6" borderId="1" xfId="0" applyFont="1" applyFill="1" applyBorder="1" applyAlignment="1">
      <alignment vertical="center"/>
    </xf>
    <xf numFmtId="1" fontId="56" fillId="6" borderId="1" xfId="0" applyNumberFormat="1" applyFont="1" applyFill="1" applyBorder="1" applyAlignment="1">
      <alignment vertical="center" shrinkToFit="1"/>
    </xf>
    <xf numFmtId="0" fontId="53" fillId="10" borderId="0" xfId="0" applyFont="1" applyFill="1" applyAlignment="1">
      <alignment vertical="center"/>
    </xf>
    <xf numFmtId="1" fontId="55" fillId="10" borderId="0" xfId="0" applyNumberFormat="1" applyFont="1" applyFill="1" applyAlignment="1">
      <alignment horizontal="left" vertical="center" indent="15" shrinkToFit="1"/>
    </xf>
    <xf numFmtId="1" fontId="56" fillId="10" borderId="0" xfId="0" applyNumberFormat="1" applyFont="1" applyFill="1" applyAlignment="1">
      <alignment vertical="center" shrinkToFit="1"/>
    </xf>
    <xf numFmtId="0" fontId="29" fillId="0" borderId="18" xfId="0" applyFont="1" applyBorder="1" applyAlignment="1">
      <alignment vertical="top"/>
    </xf>
    <xf numFmtId="0" fontId="29" fillId="0" borderId="18" xfId="0" applyFont="1" applyBorder="1"/>
    <xf numFmtId="0" fontId="29" fillId="0" borderId="0" xfId="0" applyFont="1" applyAlignment="1">
      <alignment vertical="top"/>
    </xf>
    <xf numFmtId="0" fontId="57" fillId="8" borderId="0" xfId="0" applyFont="1" applyFill="1"/>
    <xf numFmtId="0" fontId="29" fillId="8" borderId="0" xfId="0" applyFont="1" applyFill="1"/>
    <xf numFmtId="10" fontId="29" fillId="0" borderId="0" xfId="0" applyNumberFormat="1" applyFont="1"/>
    <xf numFmtId="0" fontId="17" fillId="8" borderId="20" xfId="0" applyFont="1" applyFill="1" applyBorder="1"/>
    <xf numFmtId="0" fontId="14" fillId="8" borderId="19" xfId="0" applyFont="1" applyFill="1" applyBorder="1" applyAlignment="1">
      <alignment horizontal="right" vertical="center" indent="2"/>
    </xf>
    <xf numFmtId="0" fontId="44" fillId="8" borderId="19" xfId="0" applyFont="1" applyFill="1" applyBorder="1"/>
    <xf numFmtId="0" fontId="17" fillId="8" borderId="20" xfId="0" applyFont="1" applyFill="1" applyBorder="1" applyAlignment="1">
      <alignment horizontal="right" vertical="center" indent="2"/>
    </xf>
    <xf numFmtId="6" fontId="17" fillId="8" borderId="20" xfId="0" applyNumberFormat="1" applyFont="1" applyFill="1" applyBorder="1" applyAlignment="1">
      <alignment horizontal="left" vertical="center"/>
    </xf>
    <xf numFmtId="0" fontId="48" fillId="8" borderId="2" xfId="0" applyFont="1" applyFill="1" applyBorder="1" applyAlignment="1">
      <alignment horizontal="left" vertical="center" indent="1"/>
    </xf>
    <xf numFmtId="174" fontId="29" fillId="8" borderId="5" xfId="0" applyNumberFormat="1" applyFont="1" applyFill="1" applyBorder="1" applyAlignment="1">
      <alignment horizontal="center" vertical="center"/>
    </xf>
    <xf numFmtId="0" fontId="17" fillId="8" borderId="12" xfId="0" applyFont="1" applyFill="1" applyBorder="1" applyAlignment="1">
      <alignment vertical="center" wrapText="1"/>
    </xf>
    <xf numFmtId="170" fontId="17" fillId="9" borderId="12" xfId="0" applyNumberFormat="1" applyFont="1" applyFill="1" applyBorder="1" applyAlignment="1">
      <alignment horizontal="center" vertical="center"/>
    </xf>
    <xf numFmtId="4" fontId="17" fillId="12" borderId="6" xfId="0" applyNumberFormat="1" applyFont="1" applyFill="1" applyBorder="1" applyAlignment="1" applyProtection="1">
      <alignment horizontal="center" vertical="center"/>
      <protection locked="0"/>
    </xf>
    <xf numFmtId="0" fontId="4" fillId="0" borderId="0" xfId="0" applyFont="1" applyAlignment="1">
      <alignment vertical="center"/>
    </xf>
    <xf numFmtId="169" fontId="17" fillId="15" borderId="6" xfId="0" applyNumberFormat="1" applyFont="1" applyFill="1" applyBorder="1" applyAlignment="1">
      <alignment vertical="center"/>
    </xf>
    <xf numFmtId="167" fontId="17" fillId="14" borderId="6" xfId="0" applyNumberFormat="1" applyFont="1" applyFill="1" applyBorder="1" applyAlignment="1" applyProtection="1">
      <alignment horizontal="center" vertical="center"/>
      <protection locked="0"/>
    </xf>
    <xf numFmtId="166" fontId="17" fillId="15" borderId="6" xfId="0" applyNumberFormat="1" applyFont="1" applyFill="1" applyBorder="1" applyAlignment="1">
      <alignment horizontal="center" vertical="center"/>
    </xf>
    <xf numFmtId="169" fontId="18" fillId="15" borderId="6" xfId="0" applyNumberFormat="1" applyFont="1" applyFill="1" applyBorder="1" applyAlignment="1">
      <alignment vertical="center"/>
    </xf>
    <xf numFmtId="169" fontId="18" fillId="15" borderId="7" xfId="0" applyNumberFormat="1" applyFont="1" applyFill="1" applyBorder="1" applyAlignment="1">
      <alignment vertical="center"/>
    </xf>
    <xf numFmtId="0" fontId="17" fillId="15" borderId="5" xfId="0" applyFont="1" applyFill="1" applyBorder="1" applyAlignment="1">
      <alignment vertical="center"/>
    </xf>
    <xf numFmtId="169" fontId="18" fillId="14" borderId="6" xfId="0" applyNumberFormat="1" applyFont="1" applyFill="1" applyBorder="1" applyAlignment="1" applyProtection="1">
      <alignment vertical="center"/>
      <protection locked="0"/>
    </xf>
    <xf numFmtId="3" fontId="17" fillId="14" borderId="6" xfId="0" applyNumberFormat="1" applyFont="1" applyFill="1" applyBorder="1" applyAlignment="1" applyProtection="1">
      <alignment horizontal="center" vertical="center"/>
      <protection locked="0"/>
    </xf>
    <xf numFmtId="0" fontId="36" fillId="0" borderId="0" xfId="0" applyFont="1" applyAlignment="1">
      <alignment horizontal="center" vertical="center"/>
    </xf>
    <xf numFmtId="0" fontId="17" fillId="0" borderId="0" xfId="0" applyFont="1" applyAlignment="1">
      <alignment horizontal="center" vertical="center" wrapText="1"/>
    </xf>
    <xf numFmtId="0" fontId="13" fillId="0" borderId="17" xfId="0" applyFont="1" applyBorder="1" applyAlignment="1">
      <alignment horizontal="center" vertical="center"/>
    </xf>
    <xf numFmtId="167" fontId="17" fillId="15" borderId="6" xfId="0" applyNumberFormat="1" applyFont="1" applyFill="1" applyBorder="1" applyAlignment="1" applyProtection="1">
      <alignment horizontal="center" vertical="center"/>
      <protection locked="0"/>
    </xf>
    <xf numFmtId="167" fontId="13" fillId="15" borderId="6" xfId="0" applyNumberFormat="1" applyFont="1" applyFill="1" applyBorder="1" applyAlignment="1">
      <alignment vertical="center"/>
    </xf>
    <xf numFmtId="169" fontId="13" fillId="15" borderId="6" xfId="0" applyNumberFormat="1" applyFont="1" applyFill="1" applyBorder="1" applyAlignment="1">
      <alignment vertical="center"/>
    </xf>
    <xf numFmtId="174" fontId="13" fillId="15" borderId="6" xfId="0" applyNumberFormat="1" applyFont="1" applyFill="1" applyBorder="1" applyAlignment="1">
      <alignment vertical="center"/>
    </xf>
    <xf numFmtId="169" fontId="65" fillId="10" borderId="0" xfId="0" applyNumberFormat="1" applyFont="1" applyFill="1" applyAlignment="1">
      <alignment vertical="center"/>
    </xf>
    <xf numFmtId="164" fontId="13" fillId="0" borderId="21" xfId="0" applyNumberFormat="1" applyFont="1" applyBorder="1" applyAlignment="1">
      <alignment vertical="center"/>
    </xf>
    <xf numFmtId="0" fontId="13" fillId="0" borderId="21" xfId="0" applyFont="1" applyBorder="1" applyAlignment="1">
      <alignment vertical="center"/>
    </xf>
    <xf numFmtId="0" fontId="36" fillId="0" borderId="0" xfId="0" applyFont="1" applyAlignment="1">
      <alignment horizontal="left" vertical="center"/>
    </xf>
    <xf numFmtId="167" fontId="14" fillId="9" borderId="9" xfId="0" applyNumberFormat="1" applyFont="1" applyFill="1" applyBorder="1" applyAlignment="1">
      <alignment vertical="center"/>
    </xf>
    <xf numFmtId="169" fontId="14" fillId="9" borderId="9" xfId="0" applyNumberFormat="1" applyFont="1" applyFill="1" applyBorder="1" applyAlignment="1">
      <alignment vertical="center"/>
    </xf>
    <xf numFmtId="3" fontId="18" fillId="15" borderId="14" xfId="0" applyNumberFormat="1" applyFont="1" applyFill="1" applyBorder="1" applyAlignment="1">
      <alignment horizontal="center" vertical="center"/>
    </xf>
    <xf numFmtId="3" fontId="17" fillId="8" borderId="14" xfId="0" applyNumberFormat="1" applyFont="1" applyFill="1" applyBorder="1" applyAlignment="1">
      <alignment horizontal="center" vertical="center"/>
    </xf>
    <xf numFmtId="3" fontId="17" fillId="12" borderId="14" xfId="0" applyNumberFormat="1" applyFont="1" applyFill="1" applyBorder="1" applyAlignment="1" applyProtection="1">
      <alignment horizontal="center" vertical="center"/>
      <protection locked="0"/>
    </xf>
    <xf numFmtId="169" fontId="22" fillId="9" borderId="6" xfId="0" applyNumberFormat="1" applyFont="1" applyFill="1" applyBorder="1" applyAlignment="1">
      <alignment vertical="center"/>
    </xf>
    <xf numFmtId="167" fontId="22" fillId="9" borderId="6" xfId="0" applyNumberFormat="1" applyFont="1" applyFill="1" applyBorder="1" applyAlignment="1">
      <alignment vertical="center"/>
    </xf>
    <xf numFmtId="165" fontId="17" fillId="8" borderId="6" xfId="0" applyNumberFormat="1" applyFont="1" applyFill="1" applyBorder="1" applyAlignment="1">
      <alignment horizontal="center" vertical="center"/>
    </xf>
    <xf numFmtId="0" fontId="17" fillId="0" borderId="0" xfId="0" applyFont="1" applyAlignment="1">
      <alignment horizontal="center" wrapText="1"/>
    </xf>
    <xf numFmtId="0" fontId="66" fillId="0" borderId="0" xfId="0" applyFont="1" applyAlignment="1">
      <alignment horizontal="center" wrapText="1"/>
    </xf>
    <xf numFmtId="0" fontId="68" fillId="0" borderId="0" xfId="0" applyFont="1" applyAlignment="1">
      <alignment horizontal="center" wrapText="1"/>
    </xf>
    <xf numFmtId="3" fontId="68" fillId="0" borderId="0" xfId="0" applyNumberFormat="1" applyFont="1" applyAlignment="1">
      <alignment horizontal="center"/>
    </xf>
    <xf numFmtId="0" fontId="68" fillId="0" borderId="0" xfId="0" applyFont="1" applyAlignment="1">
      <alignment horizontal="center"/>
    </xf>
    <xf numFmtId="169" fontId="14" fillId="9" borderId="6" xfId="0" applyNumberFormat="1" applyFont="1" applyFill="1" applyBorder="1" applyAlignment="1">
      <alignment horizontal="center" vertical="center"/>
    </xf>
    <xf numFmtId="165" fontId="17" fillId="14" borderId="14" xfId="0" applyNumberFormat="1" applyFont="1" applyFill="1" applyBorder="1" applyAlignment="1" applyProtection="1">
      <alignment horizontal="center" vertical="center"/>
      <protection locked="0"/>
    </xf>
    <xf numFmtId="0" fontId="14" fillId="8" borderId="6" xfId="0" applyFont="1" applyFill="1" applyBorder="1" applyAlignment="1">
      <alignment vertical="center"/>
    </xf>
    <xf numFmtId="0" fontId="18" fillId="0" borderId="6" xfId="0" applyFont="1" applyBorder="1" applyAlignment="1">
      <alignment horizontal="left" vertical="center"/>
    </xf>
    <xf numFmtId="1" fontId="58" fillId="12" borderId="23" xfId="0" applyNumberFormat="1" applyFont="1" applyFill="1" applyBorder="1" applyAlignment="1">
      <alignment horizontal="center" vertical="center"/>
    </xf>
    <xf numFmtId="0" fontId="29" fillId="2" borderId="23" xfId="0" applyFont="1" applyFill="1" applyBorder="1"/>
    <xf numFmtId="0" fontId="29" fillId="11" borderId="23" xfId="0" applyFont="1" applyFill="1" applyBorder="1"/>
    <xf numFmtId="175" fontId="18" fillId="11" borderId="6" xfId="0" applyNumberFormat="1" applyFont="1" applyFill="1" applyBorder="1" applyAlignment="1">
      <alignment horizontal="center" vertical="center"/>
    </xf>
    <xf numFmtId="0" fontId="59" fillId="8" borderId="0" xfId="0" applyFont="1" applyFill="1" applyAlignment="1">
      <alignment horizontal="left" vertical="center" wrapText="1"/>
    </xf>
    <xf numFmtId="0" fontId="52" fillId="13" borderId="0" xfId="0" applyFont="1" applyFill="1" applyAlignment="1">
      <alignment horizontal="center" vertical="center"/>
    </xf>
    <xf numFmtId="0" fontId="29" fillId="8" borderId="0" xfId="0" applyFont="1" applyFill="1" applyAlignment="1">
      <alignment horizontal="center" vertical="center" wrapText="1"/>
    </xf>
    <xf numFmtId="0" fontId="29" fillId="8" borderId="0" xfId="0" applyFont="1" applyFill="1" applyAlignment="1">
      <alignment horizontal="center" vertical="center"/>
    </xf>
    <xf numFmtId="1" fontId="55" fillId="6" borderId="1" xfId="0" applyNumberFormat="1" applyFont="1" applyFill="1" applyBorder="1" applyAlignment="1">
      <alignment horizontal="left" vertical="center" indent="15" shrinkToFit="1"/>
    </xf>
    <xf numFmtId="0" fontId="54" fillId="3" borderId="0" xfId="0" applyFont="1" applyFill="1" applyAlignment="1">
      <alignment horizontal="center" vertical="center"/>
    </xf>
    <xf numFmtId="1" fontId="32" fillId="6" borderId="1" xfId="0" applyNumberFormat="1" applyFont="1" applyFill="1" applyBorder="1" applyAlignment="1">
      <alignment horizontal="left" vertical="center" indent="15" shrinkToFit="1"/>
    </xf>
    <xf numFmtId="0" fontId="34" fillId="3" borderId="0" xfId="0" applyFont="1" applyFill="1" applyAlignment="1">
      <alignment horizontal="center" vertical="center"/>
    </xf>
    <xf numFmtId="0" fontId="40" fillId="0" borderId="0" xfId="0" applyFont="1" applyAlignment="1">
      <alignment horizontal="center" wrapText="1"/>
    </xf>
    <xf numFmtId="0" fontId="41" fillId="0" borderId="0" xfId="0" applyFont="1"/>
    <xf numFmtId="0" fontId="29" fillId="8" borderId="5" xfId="0" applyFont="1" applyFill="1" applyBorder="1" applyAlignment="1">
      <alignment vertical="center"/>
    </xf>
    <xf numFmtId="0" fontId="29" fillId="8" borderId="2" xfId="0" applyFont="1" applyFill="1" applyBorder="1" applyAlignment="1">
      <alignment vertical="center"/>
    </xf>
    <xf numFmtId="0" fontId="10" fillId="8" borderId="0" xfId="0" applyFont="1" applyFill="1" applyAlignment="1">
      <alignment vertical="top" wrapText="1"/>
    </xf>
    <xf numFmtId="0" fontId="17" fillId="8" borderId="0" xfId="0" applyFont="1" applyFill="1" applyAlignment="1">
      <alignment vertical="top" wrapText="1"/>
    </xf>
    <xf numFmtId="0" fontId="45" fillId="0" borderId="0" xfId="0" applyFont="1" applyAlignment="1">
      <alignment horizontal="right" vertical="top"/>
    </xf>
    <xf numFmtId="0" fontId="6" fillId="8" borderId="19" xfId="0" applyFont="1" applyFill="1" applyBorder="1" applyAlignment="1">
      <alignment vertical="center"/>
    </xf>
    <xf numFmtId="0" fontId="17" fillId="8" borderId="19" xfId="0" applyFont="1" applyFill="1" applyBorder="1" applyAlignment="1">
      <alignment vertical="center"/>
    </xf>
    <xf numFmtId="0" fontId="17" fillId="8" borderId="0" xfId="0" applyFont="1" applyFill="1" applyAlignment="1">
      <alignment vertical="center"/>
    </xf>
    <xf numFmtId="0" fontId="35" fillId="0" borderId="0" xfId="0" applyFont="1"/>
    <xf numFmtId="0" fontId="25" fillId="0" borderId="0" xfId="0" applyFont="1"/>
    <xf numFmtId="0" fontId="34" fillId="7" borderId="0" xfId="0" applyFont="1" applyFill="1" applyAlignment="1">
      <alignment horizontal="center" vertical="center"/>
    </xf>
    <xf numFmtId="0" fontId="6" fillId="8" borderId="0" xfId="0" applyFont="1" applyFill="1" applyAlignment="1">
      <alignment vertical="center"/>
    </xf>
    <xf numFmtId="0" fontId="18" fillId="8" borderId="19" xfId="0" applyFont="1" applyFill="1" applyBorder="1" applyAlignment="1">
      <alignment vertical="center"/>
    </xf>
    <xf numFmtId="0" fontId="16" fillId="8" borderId="0" xfId="0" applyFont="1" applyFill="1" applyAlignment="1">
      <alignment vertical="center"/>
    </xf>
    <xf numFmtId="0" fontId="17" fillId="8" borderId="20" xfId="0" applyFont="1" applyFill="1" applyBorder="1" applyAlignment="1">
      <alignment vertical="center"/>
    </xf>
    <xf numFmtId="0" fontId="5" fillId="8" borderId="0" xfId="0" applyFont="1" applyFill="1" applyAlignment="1">
      <alignment vertical="center"/>
    </xf>
    <xf numFmtId="0" fontId="6" fillId="8" borderId="20" xfId="0" applyFont="1" applyFill="1" applyBorder="1" applyAlignment="1">
      <alignment vertical="center"/>
    </xf>
    <xf numFmtId="0" fontId="14" fillId="8" borderId="0" xfId="0" applyFont="1" applyFill="1" applyAlignment="1">
      <alignment vertical="center"/>
    </xf>
    <xf numFmtId="0" fontId="17" fillId="8" borderId="19" xfId="0" applyFont="1" applyFill="1" applyBorder="1" applyAlignment="1">
      <alignment vertical="top" wrapText="1"/>
    </xf>
    <xf numFmtId="0" fontId="17" fillId="8" borderId="19" xfId="0" applyFont="1" applyFill="1" applyBorder="1" applyAlignment="1">
      <alignment vertical="top"/>
    </xf>
    <xf numFmtId="0" fontId="17" fillId="8" borderId="0" xfId="0" applyFont="1" applyFill="1" applyAlignment="1">
      <alignment vertical="top"/>
    </xf>
    <xf numFmtId="0" fontId="17" fillId="8" borderId="0" xfId="0" applyFont="1" applyFill="1"/>
    <xf numFmtId="0" fontId="6" fillId="8" borderId="0" xfId="0" applyFont="1" applyFill="1" applyAlignment="1">
      <alignment vertical="center" wrapText="1"/>
    </xf>
    <xf numFmtId="0" fontId="17" fillId="8" borderId="0" xfId="0" applyFont="1" applyFill="1" applyAlignment="1">
      <alignment vertical="center" wrapText="1"/>
    </xf>
    <xf numFmtId="0" fontId="14" fillId="0" borderId="0" xfId="0" applyFont="1" applyAlignment="1">
      <alignment vertical="center"/>
    </xf>
    <xf numFmtId="0" fontId="17" fillId="0" borderId="0" xfId="0" applyFont="1" applyAlignment="1">
      <alignment vertical="center"/>
    </xf>
    <xf numFmtId="0" fontId="17" fillId="12" borderId="5"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169" fontId="17" fillId="10" borderId="5" xfId="0" applyNumberFormat="1" applyFont="1" applyFill="1" applyBorder="1" applyAlignment="1" applyProtection="1">
      <alignment horizontal="center" vertical="center"/>
      <protection locked="0"/>
    </xf>
    <xf numFmtId="169" fontId="17" fillId="10" borderId="14" xfId="0" applyNumberFormat="1" applyFont="1" applyFill="1" applyBorder="1" applyAlignment="1" applyProtection="1">
      <alignment horizontal="center" vertical="center"/>
      <protection locked="0"/>
    </xf>
    <xf numFmtId="0" fontId="17" fillId="0" borderId="15" xfId="0" applyFont="1" applyBorder="1" applyAlignment="1">
      <alignment horizontal="center" wrapText="1"/>
    </xf>
    <xf numFmtId="0" fontId="17" fillId="0" borderId="15" xfId="0" applyFont="1" applyBorder="1" applyAlignment="1">
      <alignment horizontal="center"/>
    </xf>
    <xf numFmtId="0" fontId="17" fillId="0" borderId="2" xfId="0" applyFont="1" applyBorder="1" applyAlignment="1">
      <alignment horizontal="left"/>
    </xf>
    <xf numFmtId="0" fontId="17" fillId="8" borderId="16" xfId="0" applyFont="1" applyFill="1" applyBorder="1" applyAlignment="1">
      <alignment horizontal="center" vertical="center"/>
    </xf>
    <xf numFmtId="0" fontId="17" fillId="8" borderId="22" xfId="0" applyFont="1" applyFill="1" applyBorder="1" applyAlignment="1">
      <alignment horizontal="center" vertical="center"/>
    </xf>
    <xf numFmtId="0" fontId="17" fillId="0" borderId="2" xfId="0" applyFont="1" applyBorder="1" applyAlignment="1">
      <alignment horizontal="center"/>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xf>
    <xf numFmtId="0" fontId="17" fillId="12" borderId="5" xfId="0" applyFont="1" applyFill="1" applyBorder="1" applyAlignment="1" applyProtection="1">
      <alignment horizontal="center" vertical="center"/>
      <protection locked="0"/>
    </xf>
    <xf numFmtId="0" fontId="17" fillId="12" borderId="14" xfId="0" applyFont="1" applyFill="1" applyBorder="1" applyAlignment="1" applyProtection="1">
      <alignment horizontal="center" vertical="center"/>
      <protection locked="0"/>
    </xf>
    <xf numFmtId="1" fontId="32" fillId="6" borderId="1" xfId="0" applyNumberFormat="1" applyFont="1" applyFill="1" applyBorder="1" applyAlignment="1">
      <alignment horizontal="left" vertical="center" shrinkToFit="1"/>
    </xf>
    <xf numFmtId="0" fontId="13" fillId="0" borderId="0" xfId="0" applyFont="1" applyAlignment="1">
      <alignment horizontal="center" vertical="center"/>
    </xf>
    <xf numFmtId="164" fontId="13" fillId="0" borderId="0" xfId="0" applyNumberFormat="1" applyFont="1" applyAlignment="1">
      <alignment horizontal="center" vertical="center"/>
    </xf>
    <xf numFmtId="0" fontId="18" fillId="14" borderId="5" xfId="0" applyFont="1" applyFill="1" applyBorder="1" applyAlignment="1" applyProtection="1">
      <alignment horizontal="center" vertical="center"/>
      <protection locked="0"/>
    </xf>
    <xf numFmtId="0" fontId="18" fillId="14" borderId="14" xfId="0" applyFont="1" applyFill="1" applyBorder="1" applyAlignment="1" applyProtection="1">
      <alignment horizontal="center" vertical="center"/>
      <protection locked="0"/>
    </xf>
    <xf numFmtId="177" fontId="17" fillId="8" borderId="6" xfId="0" applyNumberFormat="1" applyFont="1" applyFill="1" applyBorder="1" applyAlignment="1">
      <alignment horizontal="center" vertical="center"/>
    </xf>
    <xf numFmtId="177" fontId="14" fillId="9" borderId="6" xfId="0" applyNumberFormat="1" applyFont="1" applyFill="1" applyBorder="1" applyAlignment="1">
      <alignment horizontal="center" vertical="center"/>
    </xf>
    <xf numFmtId="0" fontId="17" fillId="12" borderId="14" xfId="0" applyFont="1" applyFill="1" applyBorder="1" applyAlignment="1" applyProtection="1">
      <alignment horizontal="left" vertical="center"/>
      <protection locked="0"/>
    </xf>
    <xf numFmtId="0" fontId="17" fillId="10" borderId="5" xfId="0" applyFont="1" applyFill="1" applyBorder="1" applyAlignment="1" applyProtection="1">
      <alignment horizontal="left" vertical="center"/>
      <protection locked="0"/>
    </xf>
    <xf numFmtId="0" fontId="17" fillId="10" borderId="14" xfId="0" applyFont="1" applyFill="1" applyBorder="1" applyAlignment="1" applyProtection="1">
      <alignment horizontal="left" vertical="center"/>
      <protection locked="0"/>
    </xf>
    <xf numFmtId="4" fontId="17" fillId="10" borderId="6" xfId="0" applyNumberFormat="1" applyFont="1" applyFill="1" applyBorder="1" applyAlignment="1" applyProtection="1">
      <alignment horizontal="center" vertical="center"/>
      <protection locked="0"/>
    </xf>
    <xf numFmtId="169" fontId="17" fillId="10" borderId="6" xfId="0" applyNumberFormat="1" applyFont="1" applyFill="1" applyBorder="1" applyAlignment="1">
      <alignment horizontal="center" vertical="center"/>
    </xf>
    <xf numFmtId="177" fontId="17" fillId="10" borderId="6" xfId="0" applyNumberFormat="1" applyFont="1" applyFill="1" applyBorder="1" applyAlignment="1">
      <alignment horizontal="center" vertical="center"/>
    </xf>
    <xf numFmtId="177" fontId="17" fillId="8" borderId="14"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5D9F1"/>
      <color rgb="FFF2F2F2"/>
      <color rgb="FFD9D9D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absolute">
    <xdr:from>
      <xdr:col>1</xdr:col>
      <xdr:colOff>130175</xdr:colOff>
      <xdr:row>0</xdr:row>
      <xdr:rowOff>0</xdr:rowOff>
    </xdr:from>
    <xdr:to>
      <xdr:col>4</xdr:col>
      <xdr:colOff>409575</xdr:colOff>
      <xdr:row>1</xdr:row>
      <xdr:rowOff>190500</xdr:rowOff>
    </xdr:to>
    <xdr:sp macro="" textlink="">
      <xdr:nvSpPr>
        <xdr:cNvPr id="2" name="Frihandsfigur 1">
          <a:extLst>
            <a:ext uri="{FF2B5EF4-FFF2-40B4-BE49-F238E27FC236}">
              <a16:creationId xmlns:a16="http://schemas.microsoft.com/office/drawing/2014/main" id="{00000000-0008-0000-0000-000002000000}"/>
            </a:ext>
          </a:extLst>
        </xdr:cNvPr>
        <xdr:cNvSpPr/>
      </xdr:nvSpPr>
      <xdr:spPr>
        <a:xfrm flipH="1">
          <a:off x="279400" y="0"/>
          <a:ext cx="1974850" cy="57150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INTRODUKTION</a:t>
          </a:r>
        </a:p>
      </xdr:txBody>
    </xdr:sp>
    <xdr:clientData/>
  </xdr:twoCellAnchor>
  <xdr:twoCellAnchor>
    <xdr:from>
      <xdr:col>0</xdr:col>
      <xdr:colOff>126999</xdr:colOff>
      <xdr:row>6</xdr:row>
      <xdr:rowOff>60325</xdr:rowOff>
    </xdr:from>
    <xdr:to>
      <xdr:col>12</xdr:col>
      <xdr:colOff>6350</xdr:colOff>
      <xdr:row>6</xdr:row>
      <xdr:rowOff>898979</xdr:rowOff>
    </xdr:to>
    <xdr:sp macro="" textlink="">
      <xdr:nvSpPr>
        <xdr:cNvPr id="9" name="textruta 8">
          <a:extLst>
            <a:ext uri="{FF2B5EF4-FFF2-40B4-BE49-F238E27FC236}">
              <a16:creationId xmlns:a16="http://schemas.microsoft.com/office/drawing/2014/main" id="{00000000-0008-0000-0000-000009000000}"/>
            </a:ext>
          </a:extLst>
        </xdr:cNvPr>
        <xdr:cNvSpPr txBox="1"/>
      </xdr:nvSpPr>
      <xdr:spPr>
        <a:xfrm>
          <a:off x="126999" y="2762250"/>
          <a:ext cx="6699251" cy="83865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Denna mall är framtagen inom projektet ”Utökad grisproduktion på Gotland” som finansieras av Landsbygdsprogrammet 2014-2020 och Leader Gute. Projektet är ett samarbetsprojekt mellan RISE Jordbruk och trädgård, Gotlands Slagteri AB, Gård och Djurhälsan och gotländska grisproducenter. </a:t>
          </a:r>
          <a:endParaRPr lang="sv-SE">
            <a:effectLst/>
          </a:endParaRPr>
        </a:p>
        <a:p>
          <a:r>
            <a:rPr lang="sv-SE" sz="1100" b="0" i="0">
              <a:solidFill>
                <a:schemeClr val="dk1"/>
              </a:solidFill>
              <a:effectLst/>
              <a:latin typeface="+mn-lt"/>
              <a:ea typeface="+mn-ea"/>
              <a:cs typeface="+mn-cs"/>
            </a:rPr>
            <a:t>Ursprungsmallen är utarbetad av Helena Eken, Magnus Rinman och Anna Skogar, Agronomprogrammet SLU.</a:t>
          </a:r>
        </a:p>
      </xdr:txBody>
    </xdr:sp>
    <xdr:clientData/>
  </xdr:twoCellAnchor>
  <xdr:twoCellAnchor editAs="absolute">
    <xdr:from>
      <xdr:col>4</xdr:col>
      <xdr:colOff>114300</xdr:colOff>
      <xdr:row>3</xdr:row>
      <xdr:rowOff>28575</xdr:rowOff>
    </xdr:from>
    <xdr:to>
      <xdr:col>6</xdr:col>
      <xdr:colOff>205300</xdr:colOff>
      <xdr:row>3</xdr:row>
      <xdr:rowOff>1288575</xdr:rowOff>
    </xdr:to>
    <xdr:pic>
      <xdr:nvPicPr>
        <xdr:cNvPr id="11" name="Bildobjekt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0240" y="1019175"/>
          <a:ext cx="1279720" cy="1260000"/>
        </a:xfrm>
        <a:prstGeom prst="rect">
          <a:avLst/>
        </a:prstGeom>
      </xdr:spPr>
    </xdr:pic>
    <xdr:clientData/>
  </xdr:twoCellAnchor>
  <xdr:twoCellAnchor editAs="absolute">
    <xdr:from>
      <xdr:col>6</xdr:col>
      <xdr:colOff>358775</xdr:colOff>
      <xdr:row>3</xdr:row>
      <xdr:rowOff>69849</xdr:rowOff>
    </xdr:from>
    <xdr:to>
      <xdr:col>8</xdr:col>
      <xdr:colOff>156258</xdr:colOff>
      <xdr:row>3</xdr:row>
      <xdr:rowOff>1077849</xdr:rowOff>
    </xdr:to>
    <xdr:pic>
      <xdr:nvPicPr>
        <xdr:cNvPr id="12" name="Bildobjekt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3435" y="1060449"/>
          <a:ext cx="986203" cy="1008000"/>
        </a:xfrm>
        <a:prstGeom prst="rect">
          <a:avLst/>
        </a:prstGeom>
      </xdr:spPr>
    </xdr:pic>
    <xdr:clientData/>
  </xdr:twoCellAnchor>
  <xdr:twoCellAnchor editAs="absolute">
    <xdr:from>
      <xdr:col>8</xdr:col>
      <xdr:colOff>450849</xdr:colOff>
      <xdr:row>3</xdr:row>
      <xdr:rowOff>52198</xdr:rowOff>
    </xdr:from>
    <xdr:to>
      <xdr:col>11</xdr:col>
      <xdr:colOff>287769</xdr:colOff>
      <xdr:row>3</xdr:row>
      <xdr:rowOff>625056</xdr:rowOff>
    </xdr:to>
    <xdr:pic>
      <xdr:nvPicPr>
        <xdr:cNvPr id="13" name="Bildobjekt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772" r="11456"/>
        <a:stretch/>
      </xdr:blipFill>
      <xdr:spPr>
        <a:xfrm>
          <a:off x="4634229" y="1042798"/>
          <a:ext cx="1620000" cy="572858"/>
        </a:xfrm>
        <a:prstGeom prst="rect">
          <a:avLst/>
        </a:prstGeom>
        <a:ln w="635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0</xdr:row>
      <xdr:rowOff>0</xdr:rowOff>
    </xdr:from>
    <xdr:to>
      <xdr:col>2</xdr:col>
      <xdr:colOff>333375</xdr:colOff>
      <xdr:row>1</xdr:row>
      <xdr:rowOff>247650</xdr:rowOff>
    </xdr:to>
    <xdr:sp macro="" textlink="">
      <xdr:nvSpPr>
        <xdr:cNvPr id="2" name="Frihandsfigur 1">
          <a:extLst>
            <a:ext uri="{FF2B5EF4-FFF2-40B4-BE49-F238E27FC236}">
              <a16:creationId xmlns:a16="http://schemas.microsoft.com/office/drawing/2014/main" id="{00000000-0008-0000-0100-000002000000}"/>
            </a:ext>
          </a:extLst>
        </xdr:cNvPr>
        <xdr:cNvSpPr/>
      </xdr:nvSpPr>
      <xdr:spPr>
        <a:xfrm flipH="1">
          <a:off x="313972" y="0"/>
          <a:ext cx="2859264"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Mina produktionsnyckeltal</a:t>
          </a:r>
        </a:p>
      </xdr:txBody>
    </xdr:sp>
    <xdr:clientData/>
  </xdr:twoCellAnchor>
  <xdr:twoCellAnchor>
    <xdr:from>
      <xdr:col>1</xdr:col>
      <xdr:colOff>9524</xdr:colOff>
      <xdr:row>4</xdr:row>
      <xdr:rowOff>9525</xdr:rowOff>
    </xdr:from>
    <xdr:to>
      <xdr:col>5</xdr:col>
      <xdr:colOff>0</xdr:colOff>
      <xdr:row>5</xdr:row>
      <xdr:rowOff>9525</xdr:rowOff>
    </xdr:to>
    <xdr:sp macro="" textlink="" fLocksText="0">
      <xdr:nvSpPr>
        <xdr:cNvPr id="3" name="textruta 2">
          <a:extLst>
            <a:ext uri="{FF2B5EF4-FFF2-40B4-BE49-F238E27FC236}">
              <a16:creationId xmlns:a16="http://schemas.microsoft.com/office/drawing/2014/main" id="{00000000-0008-0000-0100-000003000000}"/>
            </a:ext>
          </a:extLst>
        </xdr:cNvPr>
        <xdr:cNvSpPr txBox="1"/>
      </xdr:nvSpPr>
      <xdr:spPr>
        <a:xfrm>
          <a:off x="219074" y="1181100"/>
          <a:ext cx="5895975" cy="628650"/>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Fyll</a:t>
          </a:r>
          <a:r>
            <a:rPr lang="sv-SE" sz="1100" baseline="0">
              <a:solidFill>
                <a:schemeClr val="dk1"/>
              </a:solidFill>
              <a:effectLst/>
              <a:latin typeface="+mn-lt"/>
              <a:ea typeface="+mn-ea"/>
              <a:cs typeface="+mn-cs"/>
            </a:rPr>
            <a:t> i de blå fälten med produktionsvärden hämtat från din egen besättning</a:t>
          </a:r>
          <a:endParaRPr lang="sv-SE" sz="1000">
            <a:effectLst/>
          </a:endParaRPr>
        </a:p>
        <a:p>
          <a:endParaRPr lang="sv-SE" sz="1100"/>
        </a:p>
      </xdr:txBody>
    </xdr:sp>
    <xdr:clientData fLocksWithSheet="0"/>
  </xdr:twoCellAnchor>
  <xdr:twoCellAnchor>
    <xdr:from>
      <xdr:col>6</xdr:col>
      <xdr:colOff>466725</xdr:colOff>
      <xdr:row>4</xdr:row>
      <xdr:rowOff>1</xdr:rowOff>
    </xdr:from>
    <xdr:to>
      <xdr:col>13</xdr:col>
      <xdr:colOff>9525</xdr:colOff>
      <xdr:row>5</xdr:row>
      <xdr:rowOff>0</xdr:rowOff>
    </xdr:to>
    <xdr:sp macro="" textlink="" fLocksText="0">
      <xdr:nvSpPr>
        <xdr:cNvPr id="4" name="textruta 3">
          <a:extLst>
            <a:ext uri="{FF2B5EF4-FFF2-40B4-BE49-F238E27FC236}">
              <a16:creationId xmlns:a16="http://schemas.microsoft.com/office/drawing/2014/main" id="{00000000-0008-0000-0100-000004000000}"/>
            </a:ext>
          </a:extLst>
        </xdr:cNvPr>
        <xdr:cNvSpPr txBox="1"/>
      </xdr:nvSpPr>
      <xdr:spPr>
        <a:xfrm>
          <a:off x="7200900" y="1171576"/>
          <a:ext cx="5495925" cy="628649"/>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000"/>
            <a:t>(endast som hjälpmedel för att räkna ut foderkostnaden per kg foder).                                                                                              Observera att inga kostnader för arbete eller lagring finns med här. Om kostnader för arbetstid finns, lägg till dem under fliken "Ekonomiskt underlag" under rubriken "Arbete". </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137584</xdr:colOff>
      <xdr:row>0</xdr:row>
      <xdr:rowOff>10583</xdr:rowOff>
    </xdr:from>
    <xdr:to>
      <xdr:col>1</xdr:col>
      <xdr:colOff>3016251</xdr:colOff>
      <xdr:row>1</xdr:row>
      <xdr:rowOff>258233</xdr:rowOff>
    </xdr:to>
    <xdr:sp macro="" textlink="">
      <xdr:nvSpPr>
        <xdr:cNvPr id="2" name="Frihandsfigur 1">
          <a:extLst>
            <a:ext uri="{FF2B5EF4-FFF2-40B4-BE49-F238E27FC236}">
              <a16:creationId xmlns:a16="http://schemas.microsoft.com/office/drawing/2014/main" id="{00000000-0008-0000-0200-000002000000}"/>
            </a:ext>
          </a:extLst>
        </xdr:cNvPr>
        <xdr:cNvSpPr/>
      </xdr:nvSpPr>
      <xdr:spPr>
        <a:xfrm flipH="1">
          <a:off x="345723" y="10583"/>
          <a:ext cx="2878667" cy="6286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Mitt ekonomiska</a:t>
          </a:r>
          <a:r>
            <a:rPr lang="sv-SE" baseline="0"/>
            <a:t> underlag</a:t>
          </a:r>
          <a:endParaRPr lang="sv-SE"/>
        </a:p>
      </xdr:txBody>
    </xdr:sp>
    <xdr:clientData/>
  </xdr:twoCellAnchor>
  <xdr:twoCellAnchor>
    <xdr:from>
      <xdr:col>0</xdr:col>
      <xdr:colOff>285749</xdr:colOff>
      <xdr:row>3</xdr:row>
      <xdr:rowOff>47624</xdr:rowOff>
    </xdr:from>
    <xdr:to>
      <xdr:col>6</xdr:col>
      <xdr:colOff>847724</xdr:colOff>
      <xdr:row>4</xdr:row>
      <xdr:rowOff>66674</xdr:rowOff>
    </xdr:to>
    <xdr:sp macro="" textlink="" fLocksText="0">
      <xdr:nvSpPr>
        <xdr:cNvPr id="3" name="textruta 2">
          <a:extLst>
            <a:ext uri="{FF2B5EF4-FFF2-40B4-BE49-F238E27FC236}">
              <a16:creationId xmlns:a16="http://schemas.microsoft.com/office/drawing/2014/main" id="{00000000-0008-0000-0200-000003000000}"/>
            </a:ext>
          </a:extLst>
        </xdr:cNvPr>
        <xdr:cNvSpPr txBox="1"/>
      </xdr:nvSpPr>
      <xdr:spPr>
        <a:xfrm>
          <a:off x="285749" y="1190624"/>
          <a:ext cx="6696075" cy="581025"/>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             Lägg in årskostnaderna för produktionen!</a:t>
          </a:r>
          <a:endParaRPr lang="sv-SE" sz="1100"/>
        </a:p>
      </xdr:txBody>
    </xdr:sp>
    <xdr:clientData fLocksWithSheet="0"/>
  </xdr:twoCellAnchor>
  <xdr:twoCellAnchor>
    <xdr:from>
      <xdr:col>9</xdr:col>
      <xdr:colOff>9524</xdr:colOff>
      <xdr:row>3</xdr:row>
      <xdr:rowOff>38099</xdr:rowOff>
    </xdr:from>
    <xdr:to>
      <xdr:col>11</xdr:col>
      <xdr:colOff>0</xdr:colOff>
      <xdr:row>4</xdr:row>
      <xdr:rowOff>57149</xdr:rowOff>
    </xdr:to>
    <xdr:sp macro="" textlink="" fLocksText="0">
      <xdr:nvSpPr>
        <xdr:cNvPr id="4" name="textruta 3">
          <a:extLst>
            <a:ext uri="{FF2B5EF4-FFF2-40B4-BE49-F238E27FC236}">
              <a16:creationId xmlns:a16="http://schemas.microsoft.com/office/drawing/2014/main" id="{00000000-0008-0000-0200-000004000000}"/>
            </a:ext>
          </a:extLst>
        </xdr:cNvPr>
        <xdr:cNvSpPr txBox="1"/>
      </xdr:nvSpPr>
      <xdr:spPr>
        <a:xfrm>
          <a:off x="7105649" y="1181099"/>
          <a:ext cx="6877051" cy="581025"/>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mn-lt"/>
              <a:ea typeface="+mn-ea"/>
              <a:cs typeface="+mn-cs"/>
            </a:rPr>
            <a:t>             Informationsfälten</a:t>
          </a:r>
          <a:r>
            <a:rPr lang="sv-SE" sz="1000" baseline="0">
              <a:solidFill>
                <a:schemeClr val="dk1"/>
              </a:solidFill>
              <a:effectLst/>
              <a:latin typeface="+mn-lt"/>
              <a:ea typeface="+mn-ea"/>
              <a:cs typeface="+mn-cs"/>
            </a:rPr>
            <a:t> nedan är tänkta som vägledning vid ifyllnad av de blå årskostnadsfälten på den vänstra sidan i denna flik.</a:t>
          </a:r>
          <a:endParaRPr lang="sv-SE"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165099</xdr:colOff>
      <xdr:row>0</xdr:row>
      <xdr:rowOff>0</xdr:rowOff>
    </xdr:from>
    <xdr:to>
      <xdr:col>1</xdr:col>
      <xdr:colOff>2193925</xdr:colOff>
      <xdr:row>1</xdr:row>
      <xdr:rowOff>209550</xdr:rowOff>
    </xdr:to>
    <xdr:sp macro="" textlink="">
      <xdr:nvSpPr>
        <xdr:cNvPr id="2" name="Frihandsfigur 1">
          <a:extLst>
            <a:ext uri="{FF2B5EF4-FFF2-40B4-BE49-F238E27FC236}">
              <a16:creationId xmlns:a16="http://schemas.microsoft.com/office/drawing/2014/main" id="{00000000-0008-0000-0300-000002000000}"/>
            </a:ext>
          </a:extLst>
        </xdr:cNvPr>
        <xdr:cNvSpPr/>
      </xdr:nvSpPr>
      <xdr:spPr>
        <a:xfrm flipH="1">
          <a:off x="425449" y="0"/>
          <a:ext cx="2028826" cy="590550"/>
        </a:xfrm>
        <a:custGeom>
          <a:avLst/>
          <a:gdLst>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8314 w 1762300"/>
            <a:gd name="connsiteY11" fmla="*/ 561575 h 723479"/>
            <a:gd name="connsiteX12" fmla="*/ 0 w 1762300"/>
            <a:gd name="connsiteY12" fmla="*/ 542183 h 723479"/>
            <a:gd name="connsiteX13" fmla="*/ 8314 w 1762300"/>
            <a:gd name="connsiteY13" fmla="*/ 542194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8314 w 1762300"/>
            <a:gd name="connsiteY10" fmla="*/ 565265 h 723479"/>
            <a:gd name="connsiteX11" fmla="*/ 0 w 1762300"/>
            <a:gd name="connsiteY11" fmla="*/ 542183 h 723479"/>
            <a:gd name="connsiteX12" fmla="*/ 8314 w 1762300"/>
            <a:gd name="connsiteY12" fmla="*/ 542194 h 723479"/>
            <a:gd name="connsiteX13" fmla="*/ 8314 w 1762300"/>
            <a:gd name="connsiteY13"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542194 h 723479"/>
            <a:gd name="connsiteX12" fmla="*/ 8314 w 1762300"/>
            <a:gd name="connsiteY12" fmla="*/ 0 h 723479"/>
            <a:gd name="connsiteX0" fmla="*/ 8314 w 1762300"/>
            <a:gd name="connsiteY0" fmla="*/ 0 h 723479"/>
            <a:gd name="connsiteX1" fmla="*/ 1762300 w 1762300"/>
            <a:gd name="connsiteY1" fmla="*/ 0 h 723479"/>
            <a:gd name="connsiteX2" fmla="*/ 1762300 w 1762300"/>
            <a:gd name="connsiteY2" fmla="*/ 565265 h 723479"/>
            <a:gd name="connsiteX3" fmla="*/ 1737254 w 1762300"/>
            <a:gd name="connsiteY3" fmla="*/ 565265 h 723479"/>
            <a:gd name="connsiteX4" fmla="*/ 1735156 w 1762300"/>
            <a:gd name="connsiteY4" fmla="*/ 567005 h 723479"/>
            <a:gd name="connsiteX5" fmla="*/ 1535708 w 1762300"/>
            <a:gd name="connsiteY5" fmla="*/ 612565 h 723479"/>
            <a:gd name="connsiteX6" fmla="*/ 805579 w 1762300"/>
            <a:gd name="connsiteY6" fmla="*/ 587043 h 723479"/>
            <a:gd name="connsiteX7" fmla="*/ 201336 w 1762300"/>
            <a:gd name="connsiteY7" fmla="*/ 723158 h 723479"/>
            <a:gd name="connsiteX8" fmla="*/ 25265 w 1762300"/>
            <a:gd name="connsiteY8" fmla="*/ 601111 h 723479"/>
            <a:gd name="connsiteX9" fmla="*/ 9896 w 1762300"/>
            <a:gd name="connsiteY9" fmla="*/ 565265 h 723479"/>
            <a:gd name="connsiteX10" fmla="*/ 0 w 1762300"/>
            <a:gd name="connsiteY10" fmla="*/ 542183 h 723479"/>
            <a:gd name="connsiteX11" fmla="*/ 8314 w 1762300"/>
            <a:gd name="connsiteY11" fmla="*/ 0 h 723479"/>
            <a:gd name="connsiteX0" fmla="*/ 0 w 1753986"/>
            <a:gd name="connsiteY0" fmla="*/ 0 h 723479"/>
            <a:gd name="connsiteX1" fmla="*/ 1753986 w 1753986"/>
            <a:gd name="connsiteY1" fmla="*/ 0 h 723479"/>
            <a:gd name="connsiteX2" fmla="*/ 1753986 w 1753986"/>
            <a:gd name="connsiteY2" fmla="*/ 565265 h 723479"/>
            <a:gd name="connsiteX3" fmla="*/ 1728940 w 1753986"/>
            <a:gd name="connsiteY3" fmla="*/ 565265 h 723479"/>
            <a:gd name="connsiteX4" fmla="*/ 1726842 w 1753986"/>
            <a:gd name="connsiteY4" fmla="*/ 567005 h 723479"/>
            <a:gd name="connsiteX5" fmla="*/ 1527394 w 1753986"/>
            <a:gd name="connsiteY5" fmla="*/ 612565 h 723479"/>
            <a:gd name="connsiteX6" fmla="*/ 797265 w 1753986"/>
            <a:gd name="connsiteY6" fmla="*/ 587043 h 723479"/>
            <a:gd name="connsiteX7" fmla="*/ 193022 w 1753986"/>
            <a:gd name="connsiteY7" fmla="*/ 723158 h 723479"/>
            <a:gd name="connsiteX8" fmla="*/ 16951 w 1753986"/>
            <a:gd name="connsiteY8" fmla="*/ 601111 h 723479"/>
            <a:gd name="connsiteX9" fmla="*/ 1582 w 1753986"/>
            <a:gd name="connsiteY9" fmla="*/ 565265 h 723479"/>
            <a:gd name="connsiteX10" fmla="*/ 0 w 1753986"/>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28940 w 1768752"/>
            <a:gd name="connsiteY3" fmla="*/ 565265 h 723479"/>
            <a:gd name="connsiteX4" fmla="*/ 1768752 w 1768752"/>
            <a:gd name="connsiteY4" fmla="*/ 643205 h 723479"/>
            <a:gd name="connsiteX5" fmla="*/ 1527394 w 1768752"/>
            <a:gd name="connsiteY5" fmla="*/ 612565 h 723479"/>
            <a:gd name="connsiteX6" fmla="*/ 797265 w 1768752"/>
            <a:gd name="connsiteY6" fmla="*/ 587043 h 723479"/>
            <a:gd name="connsiteX7" fmla="*/ 193022 w 1768752"/>
            <a:gd name="connsiteY7" fmla="*/ 723158 h 723479"/>
            <a:gd name="connsiteX8" fmla="*/ 16951 w 1768752"/>
            <a:gd name="connsiteY8" fmla="*/ 601111 h 723479"/>
            <a:gd name="connsiteX9" fmla="*/ 1582 w 1768752"/>
            <a:gd name="connsiteY9" fmla="*/ 565265 h 723479"/>
            <a:gd name="connsiteX10" fmla="*/ 0 w 1768752"/>
            <a:gd name="connsiteY10" fmla="*/ 0 h 723479"/>
            <a:gd name="connsiteX0" fmla="*/ 0 w 1768752"/>
            <a:gd name="connsiteY0" fmla="*/ 0 h 723479"/>
            <a:gd name="connsiteX1" fmla="*/ 1753986 w 1768752"/>
            <a:gd name="connsiteY1" fmla="*/ 0 h 723479"/>
            <a:gd name="connsiteX2" fmla="*/ 1753986 w 1768752"/>
            <a:gd name="connsiteY2" fmla="*/ 565265 h 723479"/>
            <a:gd name="connsiteX3" fmla="*/ 1768752 w 1768752"/>
            <a:gd name="connsiteY3" fmla="*/ 643205 h 723479"/>
            <a:gd name="connsiteX4" fmla="*/ 1527394 w 1768752"/>
            <a:gd name="connsiteY4" fmla="*/ 612565 h 723479"/>
            <a:gd name="connsiteX5" fmla="*/ 797265 w 1768752"/>
            <a:gd name="connsiteY5" fmla="*/ 587043 h 723479"/>
            <a:gd name="connsiteX6" fmla="*/ 193022 w 1768752"/>
            <a:gd name="connsiteY6" fmla="*/ 723158 h 723479"/>
            <a:gd name="connsiteX7" fmla="*/ 16951 w 1768752"/>
            <a:gd name="connsiteY7" fmla="*/ 601111 h 723479"/>
            <a:gd name="connsiteX8" fmla="*/ 1582 w 1768752"/>
            <a:gd name="connsiteY8" fmla="*/ 565265 h 723479"/>
            <a:gd name="connsiteX9" fmla="*/ 0 w 1768752"/>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715412 w 1753986"/>
            <a:gd name="connsiteY3" fmla="*/ 61653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69692 w 1753986"/>
            <a:gd name="connsiteY3" fmla="*/ 60510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681122 w 1753986"/>
            <a:gd name="connsiteY3" fmla="*/ 612725 h 723479"/>
            <a:gd name="connsiteX4" fmla="*/ 1527394 w 1753986"/>
            <a:gd name="connsiteY4" fmla="*/ 612565 h 723479"/>
            <a:gd name="connsiteX5" fmla="*/ 797265 w 1753986"/>
            <a:gd name="connsiteY5" fmla="*/ 587043 h 723479"/>
            <a:gd name="connsiteX6" fmla="*/ 193022 w 1753986"/>
            <a:gd name="connsiteY6" fmla="*/ 723158 h 723479"/>
            <a:gd name="connsiteX7" fmla="*/ 16951 w 1753986"/>
            <a:gd name="connsiteY7" fmla="*/ 601111 h 723479"/>
            <a:gd name="connsiteX8" fmla="*/ 1582 w 1753986"/>
            <a:gd name="connsiteY8" fmla="*/ 565265 h 723479"/>
            <a:gd name="connsiteX9" fmla="*/ 0 w 1753986"/>
            <a:gd name="connsiteY9" fmla="*/ 0 h 723479"/>
            <a:gd name="connsiteX0" fmla="*/ 0 w 1753986"/>
            <a:gd name="connsiteY0" fmla="*/ 0 h 723479"/>
            <a:gd name="connsiteX1" fmla="*/ 1753986 w 1753986"/>
            <a:gd name="connsiteY1" fmla="*/ 0 h 723479"/>
            <a:gd name="connsiteX2" fmla="*/ 1753986 w 1753986"/>
            <a:gd name="connsiteY2" fmla="*/ 565265 h 723479"/>
            <a:gd name="connsiteX3" fmla="*/ 1527394 w 1753986"/>
            <a:gd name="connsiteY3" fmla="*/ 612565 h 723479"/>
            <a:gd name="connsiteX4" fmla="*/ 797265 w 1753986"/>
            <a:gd name="connsiteY4" fmla="*/ 587043 h 723479"/>
            <a:gd name="connsiteX5" fmla="*/ 193022 w 1753986"/>
            <a:gd name="connsiteY5" fmla="*/ 723158 h 723479"/>
            <a:gd name="connsiteX6" fmla="*/ 16951 w 1753986"/>
            <a:gd name="connsiteY6" fmla="*/ 601111 h 723479"/>
            <a:gd name="connsiteX7" fmla="*/ 1582 w 1753986"/>
            <a:gd name="connsiteY7" fmla="*/ 565265 h 723479"/>
            <a:gd name="connsiteX8" fmla="*/ 0 w 1753986"/>
            <a:gd name="connsiteY8" fmla="*/ 0 h 723479"/>
            <a:gd name="connsiteX0" fmla="*/ 0 w 1753986"/>
            <a:gd name="connsiteY0" fmla="*/ 0 h 677892"/>
            <a:gd name="connsiteX1" fmla="*/ 1753986 w 1753986"/>
            <a:gd name="connsiteY1" fmla="*/ 0 h 677892"/>
            <a:gd name="connsiteX2" fmla="*/ 1753986 w 1753986"/>
            <a:gd name="connsiteY2" fmla="*/ 565265 h 677892"/>
            <a:gd name="connsiteX3" fmla="*/ 1527394 w 1753986"/>
            <a:gd name="connsiteY3" fmla="*/ 612565 h 677892"/>
            <a:gd name="connsiteX4" fmla="*/ 797265 w 1753986"/>
            <a:gd name="connsiteY4" fmla="*/ 587043 h 677892"/>
            <a:gd name="connsiteX5" fmla="*/ 273032 w 1753986"/>
            <a:gd name="connsiteY5" fmla="*/ 677438 h 677892"/>
            <a:gd name="connsiteX6" fmla="*/ 16951 w 1753986"/>
            <a:gd name="connsiteY6" fmla="*/ 601111 h 677892"/>
            <a:gd name="connsiteX7" fmla="*/ 1582 w 1753986"/>
            <a:gd name="connsiteY7" fmla="*/ 565265 h 677892"/>
            <a:gd name="connsiteX8" fmla="*/ 0 w 1753986"/>
            <a:gd name="connsiteY8" fmla="*/ 0 h 677892"/>
            <a:gd name="connsiteX0" fmla="*/ 0 w 1753986"/>
            <a:gd name="connsiteY0" fmla="*/ 0 h 696473"/>
            <a:gd name="connsiteX1" fmla="*/ 1753986 w 1753986"/>
            <a:gd name="connsiteY1" fmla="*/ 0 h 696473"/>
            <a:gd name="connsiteX2" fmla="*/ 1753986 w 1753986"/>
            <a:gd name="connsiteY2" fmla="*/ 565265 h 696473"/>
            <a:gd name="connsiteX3" fmla="*/ 1527394 w 1753986"/>
            <a:gd name="connsiteY3" fmla="*/ 696385 h 696473"/>
            <a:gd name="connsiteX4" fmla="*/ 797265 w 1753986"/>
            <a:gd name="connsiteY4" fmla="*/ 587043 h 696473"/>
            <a:gd name="connsiteX5" fmla="*/ 273032 w 1753986"/>
            <a:gd name="connsiteY5" fmla="*/ 677438 h 696473"/>
            <a:gd name="connsiteX6" fmla="*/ 16951 w 1753986"/>
            <a:gd name="connsiteY6" fmla="*/ 601111 h 696473"/>
            <a:gd name="connsiteX7" fmla="*/ 1582 w 1753986"/>
            <a:gd name="connsiteY7" fmla="*/ 565265 h 696473"/>
            <a:gd name="connsiteX8" fmla="*/ 0 w 1753986"/>
            <a:gd name="connsiteY8" fmla="*/ 0 h 696473"/>
            <a:gd name="connsiteX0" fmla="*/ 0 w 1753986"/>
            <a:gd name="connsiteY0" fmla="*/ 0 h 677850"/>
            <a:gd name="connsiteX1" fmla="*/ 1753986 w 1753986"/>
            <a:gd name="connsiteY1" fmla="*/ 0 h 677850"/>
            <a:gd name="connsiteX2" fmla="*/ 1753986 w 1753986"/>
            <a:gd name="connsiteY2" fmla="*/ 565265 h 677850"/>
            <a:gd name="connsiteX3" fmla="*/ 1527394 w 1753986"/>
            <a:gd name="connsiteY3" fmla="*/ 669715 h 677850"/>
            <a:gd name="connsiteX4" fmla="*/ 797265 w 1753986"/>
            <a:gd name="connsiteY4" fmla="*/ 587043 h 677850"/>
            <a:gd name="connsiteX5" fmla="*/ 273032 w 1753986"/>
            <a:gd name="connsiteY5" fmla="*/ 677438 h 677850"/>
            <a:gd name="connsiteX6" fmla="*/ 16951 w 1753986"/>
            <a:gd name="connsiteY6" fmla="*/ 601111 h 677850"/>
            <a:gd name="connsiteX7" fmla="*/ 1582 w 1753986"/>
            <a:gd name="connsiteY7" fmla="*/ 565265 h 677850"/>
            <a:gd name="connsiteX8" fmla="*/ 0 w 1753986"/>
            <a:gd name="connsiteY8" fmla="*/ 0 h 677850"/>
            <a:gd name="connsiteX0" fmla="*/ 0 w 1753986"/>
            <a:gd name="connsiteY0" fmla="*/ 0 h 677858"/>
            <a:gd name="connsiteX1" fmla="*/ 1753986 w 1753986"/>
            <a:gd name="connsiteY1" fmla="*/ 0 h 677858"/>
            <a:gd name="connsiteX2" fmla="*/ 1753986 w 1753986"/>
            <a:gd name="connsiteY2" fmla="*/ 565265 h 677858"/>
            <a:gd name="connsiteX3" fmla="*/ 1405474 w 1753986"/>
            <a:gd name="connsiteY3" fmla="*/ 658285 h 677858"/>
            <a:gd name="connsiteX4" fmla="*/ 797265 w 1753986"/>
            <a:gd name="connsiteY4" fmla="*/ 587043 h 677858"/>
            <a:gd name="connsiteX5" fmla="*/ 273032 w 1753986"/>
            <a:gd name="connsiteY5" fmla="*/ 677438 h 677858"/>
            <a:gd name="connsiteX6" fmla="*/ 16951 w 1753986"/>
            <a:gd name="connsiteY6" fmla="*/ 601111 h 677858"/>
            <a:gd name="connsiteX7" fmla="*/ 1582 w 1753986"/>
            <a:gd name="connsiteY7" fmla="*/ 565265 h 677858"/>
            <a:gd name="connsiteX8" fmla="*/ 0 w 1753986"/>
            <a:gd name="connsiteY8" fmla="*/ 0 h 677858"/>
            <a:gd name="connsiteX0" fmla="*/ 0 w 1753986"/>
            <a:gd name="connsiteY0" fmla="*/ 0 h 677861"/>
            <a:gd name="connsiteX1" fmla="*/ 1753986 w 1753986"/>
            <a:gd name="connsiteY1" fmla="*/ 0 h 677861"/>
            <a:gd name="connsiteX2" fmla="*/ 1753986 w 1753986"/>
            <a:gd name="connsiteY2" fmla="*/ 565265 h 677861"/>
            <a:gd name="connsiteX3" fmla="*/ 1367374 w 1753986"/>
            <a:gd name="connsiteY3" fmla="*/ 654475 h 677861"/>
            <a:gd name="connsiteX4" fmla="*/ 797265 w 1753986"/>
            <a:gd name="connsiteY4" fmla="*/ 587043 h 677861"/>
            <a:gd name="connsiteX5" fmla="*/ 273032 w 1753986"/>
            <a:gd name="connsiteY5" fmla="*/ 677438 h 677861"/>
            <a:gd name="connsiteX6" fmla="*/ 16951 w 1753986"/>
            <a:gd name="connsiteY6" fmla="*/ 601111 h 677861"/>
            <a:gd name="connsiteX7" fmla="*/ 1582 w 1753986"/>
            <a:gd name="connsiteY7" fmla="*/ 565265 h 677861"/>
            <a:gd name="connsiteX8" fmla="*/ 0 w 1753986"/>
            <a:gd name="connsiteY8" fmla="*/ 0 h 677861"/>
            <a:gd name="connsiteX0" fmla="*/ 0 w 1753986"/>
            <a:gd name="connsiteY0" fmla="*/ 0 h 677863"/>
            <a:gd name="connsiteX1" fmla="*/ 1753986 w 1753986"/>
            <a:gd name="connsiteY1" fmla="*/ 0 h 677863"/>
            <a:gd name="connsiteX2" fmla="*/ 1753986 w 1753986"/>
            <a:gd name="connsiteY2" fmla="*/ 565265 h 677863"/>
            <a:gd name="connsiteX3" fmla="*/ 1355944 w 1753986"/>
            <a:gd name="connsiteY3" fmla="*/ 650665 h 677863"/>
            <a:gd name="connsiteX4" fmla="*/ 797265 w 1753986"/>
            <a:gd name="connsiteY4" fmla="*/ 587043 h 677863"/>
            <a:gd name="connsiteX5" fmla="*/ 273032 w 1753986"/>
            <a:gd name="connsiteY5" fmla="*/ 677438 h 677863"/>
            <a:gd name="connsiteX6" fmla="*/ 16951 w 1753986"/>
            <a:gd name="connsiteY6" fmla="*/ 601111 h 677863"/>
            <a:gd name="connsiteX7" fmla="*/ 1582 w 1753986"/>
            <a:gd name="connsiteY7" fmla="*/ 565265 h 677863"/>
            <a:gd name="connsiteX8" fmla="*/ 0 w 1753986"/>
            <a:gd name="connsiteY8" fmla="*/ 0 h 677863"/>
            <a:gd name="connsiteX0" fmla="*/ 0 w 1753986"/>
            <a:gd name="connsiteY0" fmla="*/ 0 h 677545"/>
            <a:gd name="connsiteX1" fmla="*/ 1753986 w 1753986"/>
            <a:gd name="connsiteY1" fmla="*/ 0 h 677545"/>
            <a:gd name="connsiteX2" fmla="*/ 1753986 w 1753986"/>
            <a:gd name="connsiteY2" fmla="*/ 565265 h 677545"/>
            <a:gd name="connsiteX3" fmla="*/ 1355944 w 1753986"/>
            <a:gd name="connsiteY3" fmla="*/ 650665 h 677545"/>
            <a:gd name="connsiteX4" fmla="*/ 797265 w 1753986"/>
            <a:gd name="connsiteY4" fmla="*/ 587043 h 677545"/>
            <a:gd name="connsiteX5" fmla="*/ 273032 w 1753986"/>
            <a:gd name="connsiteY5" fmla="*/ 677438 h 677545"/>
            <a:gd name="connsiteX6" fmla="*/ 1582 w 1753986"/>
            <a:gd name="connsiteY6" fmla="*/ 565265 h 677545"/>
            <a:gd name="connsiteX7" fmla="*/ 0 w 1753986"/>
            <a:gd name="connsiteY7" fmla="*/ 0 h 677545"/>
            <a:gd name="connsiteX0" fmla="*/ 0 w 1753986"/>
            <a:gd name="connsiteY0" fmla="*/ 0 h 669933"/>
            <a:gd name="connsiteX1" fmla="*/ 1753986 w 1753986"/>
            <a:gd name="connsiteY1" fmla="*/ 0 h 669933"/>
            <a:gd name="connsiteX2" fmla="*/ 1753986 w 1753986"/>
            <a:gd name="connsiteY2" fmla="*/ 565265 h 669933"/>
            <a:gd name="connsiteX3" fmla="*/ 1355944 w 1753986"/>
            <a:gd name="connsiteY3" fmla="*/ 650665 h 669933"/>
            <a:gd name="connsiteX4" fmla="*/ 797265 w 1753986"/>
            <a:gd name="connsiteY4" fmla="*/ 587043 h 669933"/>
            <a:gd name="connsiteX5" fmla="*/ 307322 w 1753986"/>
            <a:gd name="connsiteY5" fmla="*/ 669818 h 669933"/>
            <a:gd name="connsiteX6" fmla="*/ 1582 w 1753986"/>
            <a:gd name="connsiteY6" fmla="*/ 565265 h 669933"/>
            <a:gd name="connsiteX7" fmla="*/ 0 w 1753986"/>
            <a:gd name="connsiteY7" fmla="*/ 0 h 66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753986" h="669933">
              <a:moveTo>
                <a:pt x="0" y="0"/>
              </a:moveTo>
              <a:lnTo>
                <a:pt x="1753986" y="0"/>
              </a:lnTo>
              <a:lnTo>
                <a:pt x="1753986" y="565265"/>
              </a:lnTo>
              <a:cubicBezTo>
                <a:pt x="1716221" y="667359"/>
                <a:pt x="1515398" y="647035"/>
                <a:pt x="1355944" y="650665"/>
              </a:cubicBezTo>
              <a:cubicBezTo>
                <a:pt x="1196491" y="654295"/>
                <a:pt x="972035" y="583851"/>
                <a:pt x="797265" y="587043"/>
              </a:cubicBezTo>
              <a:cubicBezTo>
                <a:pt x="622495" y="590235"/>
                <a:pt x="439936" y="673448"/>
                <a:pt x="307322" y="669818"/>
              </a:cubicBezTo>
              <a:cubicBezTo>
                <a:pt x="174708" y="666188"/>
                <a:pt x="47087" y="678171"/>
                <a:pt x="1582" y="565265"/>
              </a:cubicBezTo>
              <a:cubicBezTo>
                <a:pt x="1055" y="376843"/>
                <a:pt x="527" y="188422"/>
                <a:pt x="0" y="0"/>
              </a:cubicBezTo>
              <a:close/>
            </a:path>
          </a:pathLst>
        </a:custGeom>
        <a:solidFill>
          <a:srgbClr val="173A5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Min</a:t>
          </a:r>
          <a:r>
            <a:rPr lang="sv-SE" baseline="0"/>
            <a:t> kalkyl</a:t>
          </a:r>
          <a:endParaRPr lang="sv-SE"/>
        </a:p>
      </xdr:txBody>
    </xdr:sp>
    <xdr:clientData/>
  </xdr:twoCellAnchor>
  <xdr:twoCellAnchor>
    <xdr:from>
      <xdr:col>1</xdr:col>
      <xdr:colOff>41275</xdr:colOff>
      <xdr:row>3</xdr:row>
      <xdr:rowOff>38100</xdr:rowOff>
    </xdr:from>
    <xdr:to>
      <xdr:col>9</xdr:col>
      <xdr:colOff>933450</xdr:colOff>
      <xdr:row>3</xdr:row>
      <xdr:rowOff>590550</xdr:rowOff>
    </xdr:to>
    <xdr:sp macro="" textlink="" fLocksText="0">
      <xdr:nvSpPr>
        <xdr:cNvPr id="3" name="textruta 2">
          <a:extLst>
            <a:ext uri="{FF2B5EF4-FFF2-40B4-BE49-F238E27FC236}">
              <a16:creationId xmlns:a16="http://schemas.microsoft.com/office/drawing/2014/main" id="{00000000-0008-0000-0300-000003000000}"/>
            </a:ext>
          </a:extLst>
        </xdr:cNvPr>
        <xdr:cNvSpPr txBox="1"/>
      </xdr:nvSpPr>
      <xdr:spPr>
        <a:xfrm>
          <a:off x="288925" y="1219200"/>
          <a:ext cx="8597900" cy="552450"/>
        </a:xfrm>
        <a:prstGeom prst="rect">
          <a:avLst/>
        </a:prstGeom>
        <a:solidFill>
          <a:schemeClr val="lt1"/>
        </a:solidFill>
        <a:ln w="6350" cmpd="sng">
          <a:solidFill>
            <a:schemeClr val="accent1">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Fyll i de blå fälten med dina besättningsegna</a:t>
          </a:r>
          <a:r>
            <a:rPr lang="sv-SE" sz="1100" baseline="0">
              <a:solidFill>
                <a:schemeClr val="dk1"/>
              </a:solidFill>
              <a:effectLst/>
              <a:latin typeface="+mn-lt"/>
              <a:ea typeface="+mn-ea"/>
              <a:cs typeface="+mn-cs"/>
            </a:rPr>
            <a:t> värden. </a:t>
          </a:r>
        </a:p>
        <a:p>
          <a:pPr marL="0" marR="0" lvl="0" indent="0" algn="ctr"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Värdena i de grå fälten kommer från flikarna "Mina produktionsnyckeltal" samt "Mitt ekonomiska underlag".</a:t>
          </a:r>
          <a:endParaRPr lang="sv-SE" sz="1100"/>
        </a:p>
      </xdr:txBody>
    </xdr:sp>
    <xdr:clientData fLocksWithSheet="0"/>
  </xdr:twoCellAnchor>
  <xdr:twoCellAnchor>
    <xdr:from>
      <xdr:col>2</xdr:col>
      <xdr:colOff>190500</xdr:colOff>
      <xdr:row>33</xdr:row>
      <xdr:rowOff>71437</xdr:rowOff>
    </xdr:from>
    <xdr:to>
      <xdr:col>4</xdr:col>
      <xdr:colOff>552450</xdr:colOff>
      <xdr:row>34</xdr:row>
      <xdr:rowOff>150018</xdr:rowOff>
    </xdr:to>
    <xdr:sp macro="" textlink="">
      <xdr:nvSpPr>
        <xdr:cNvPr id="4" name="Bildtext 1 3">
          <a:extLst>
            <a:ext uri="{FF2B5EF4-FFF2-40B4-BE49-F238E27FC236}">
              <a16:creationId xmlns:a16="http://schemas.microsoft.com/office/drawing/2014/main" id="{00000000-0008-0000-0300-000004000000}"/>
            </a:ext>
          </a:extLst>
        </xdr:cNvPr>
        <xdr:cNvSpPr/>
      </xdr:nvSpPr>
      <xdr:spPr>
        <a:xfrm>
          <a:off x="2976563" y="11513343"/>
          <a:ext cx="1409700" cy="400050"/>
        </a:xfrm>
        <a:prstGeom prst="borderCallout1">
          <a:avLst>
            <a:gd name="adj1" fmla="val 40625"/>
            <a:gd name="adj2" fmla="val 102587"/>
            <a:gd name="adj3" fmla="val 96280"/>
            <a:gd name="adj4" fmla="val 127386"/>
          </a:avLst>
        </a:prstGeom>
        <a:solidFill>
          <a:schemeClr val="bg1">
            <a:lumMod val="95000"/>
          </a:schemeClr>
        </a:solidFill>
        <a:ln w="9525">
          <a:solidFill>
            <a:schemeClr val="accent2">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900">
              <a:solidFill>
                <a:sysClr val="windowText" lastClr="000000"/>
              </a:solidFill>
            </a:rPr>
            <a:t>Kan hämtas vid beräkning i "Investeringskalkyl gris"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1" tint="0.499984740745262"/>
    <pageSetUpPr fitToPage="1"/>
  </sheetPr>
  <dimension ref="B1:Y30"/>
  <sheetViews>
    <sheetView showGridLines="0" showRowColHeaders="0" tabSelected="1" zoomScaleNormal="100" workbookViewId="0">
      <selection activeCell="B16" sqref="B16:L16"/>
    </sheetView>
  </sheetViews>
  <sheetFormatPr defaultColWidth="9.140625" defaultRowHeight="12.75" x14ac:dyDescent="0.2"/>
  <cols>
    <col min="1" max="1" width="2.140625" style="19" customWidth="1"/>
    <col min="2" max="2" width="8.7109375" style="19" customWidth="1"/>
    <col min="3" max="3" width="6.85546875" style="19" customWidth="1"/>
    <col min="4" max="12" width="8.7109375" style="19" customWidth="1"/>
    <col min="13" max="13" width="3.28515625" style="19" customWidth="1"/>
    <col min="14" max="16384" width="9.140625" style="19"/>
  </cols>
  <sheetData>
    <row r="1" spans="2:25" s="163" customFormat="1" ht="30" customHeight="1" x14ac:dyDescent="0.2">
      <c r="B1" s="229"/>
      <c r="C1" s="229"/>
      <c r="D1" s="229"/>
      <c r="E1" s="229"/>
      <c r="F1" s="164"/>
      <c r="G1" s="164"/>
      <c r="H1" s="164"/>
      <c r="I1" s="164"/>
      <c r="J1" s="164"/>
      <c r="K1" s="164"/>
      <c r="L1" s="164"/>
      <c r="M1" s="164"/>
      <c r="N1" s="164"/>
      <c r="O1" s="164"/>
      <c r="P1" s="164"/>
      <c r="Q1" s="164"/>
      <c r="R1" s="164"/>
      <c r="S1" s="164"/>
      <c r="T1" s="164"/>
      <c r="U1" s="164"/>
      <c r="V1" s="164"/>
      <c r="W1" s="164"/>
      <c r="X1" s="164"/>
      <c r="Y1" s="164"/>
    </row>
    <row r="2" spans="2:25" s="165" customFormat="1" ht="27.75" customHeight="1" x14ac:dyDescent="0.2">
      <c r="B2" s="166"/>
      <c r="C2" s="166"/>
      <c r="D2" s="166"/>
      <c r="E2" s="166"/>
      <c r="F2" s="167"/>
      <c r="G2" s="167"/>
      <c r="H2" s="167"/>
      <c r="I2" s="167"/>
      <c r="J2" s="167"/>
      <c r="K2" s="167"/>
      <c r="L2" s="167"/>
      <c r="M2" s="167"/>
      <c r="N2" s="167"/>
      <c r="O2" s="167"/>
      <c r="P2" s="167"/>
      <c r="Q2" s="167"/>
      <c r="R2" s="167"/>
      <c r="S2" s="167"/>
      <c r="T2" s="167"/>
      <c r="U2" s="167"/>
      <c r="V2" s="167"/>
      <c r="W2" s="167"/>
      <c r="X2" s="167"/>
      <c r="Y2" s="167"/>
    </row>
    <row r="3" spans="2:25" s="162" customFormat="1" ht="20.45" customHeight="1" x14ac:dyDescent="0.2">
      <c r="B3" s="162" t="s">
        <v>202</v>
      </c>
    </row>
    <row r="4" spans="2:25" ht="105.95" customHeight="1" x14ac:dyDescent="0.2">
      <c r="B4" s="168"/>
      <c r="C4" s="169"/>
      <c r="D4" s="169"/>
      <c r="E4" s="169"/>
      <c r="F4" s="169"/>
      <c r="G4" s="169"/>
      <c r="H4" s="169"/>
      <c r="I4" s="169"/>
      <c r="J4" s="169"/>
      <c r="K4" s="169"/>
      <c r="L4" s="169"/>
    </row>
    <row r="5" spans="2:25" ht="7.5" customHeight="1" x14ac:dyDescent="0.2">
      <c r="B5" s="170"/>
    </row>
    <row r="6" spans="2:25" ht="21" x14ac:dyDescent="0.2">
      <c r="B6" s="230" t="s">
        <v>172</v>
      </c>
      <c r="C6" s="230"/>
      <c r="D6" s="230"/>
      <c r="E6" s="230"/>
      <c r="F6" s="230"/>
      <c r="G6" s="230"/>
      <c r="H6" s="230"/>
      <c r="I6" s="230"/>
      <c r="J6" s="230"/>
      <c r="K6" s="230"/>
      <c r="L6" s="230"/>
    </row>
    <row r="7" spans="2:25" ht="83.85" customHeight="1" x14ac:dyDescent="0.2">
      <c r="B7" s="162"/>
      <c r="C7" s="162"/>
      <c r="D7" s="162"/>
      <c r="E7" s="162"/>
      <c r="F7" s="162"/>
      <c r="G7" s="162"/>
      <c r="H7" s="162"/>
      <c r="I7" s="162"/>
      <c r="J7" s="162"/>
      <c r="K7" s="162"/>
      <c r="L7" s="162"/>
    </row>
    <row r="8" spans="2:25" ht="20.100000000000001" customHeight="1" x14ac:dyDescent="0.2">
      <c r="B8" s="226" t="s">
        <v>174</v>
      </c>
      <c r="C8" s="226"/>
      <c r="D8" s="226"/>
      <c r="E8" s="226"/>
      <c r="F8" s="226"/>
      <c r="G8" s="226"/>
      <c r="H8" s="226"/>
      <c r="I8" s="226"/>
      <c r="J8" s="226"/>
      <c r="K8" s="226"/>
      <c r="L8" s="226"/>
    </row>
    <row r="9" spans="2:25" ht="83.25" customHeight="1" x14ac:dyDescent="0.2">
      <c r="B9" s="225" t="s">
        <v>179</v>
      </c>
      <c r="C9" s="225"/>
      <c r="D9" s="225"/>
      <c r="E9" s="225"/>
      <c r="F9" s="225"/>
      <c r="G9" s="225"/>
      <c r="H9" s="225"/>
      <c r="I9" s="225"/>
      <c r="J9" s="225"/>
      <c r="K9" s="225"/>
      <c r="L9" s="225"/>
    </row>
    <row r="10" spans="2:25" ht="7.5" customHeight="1" thickBot="1" x14ac:dyDescent="0.3">
      <c r="B10" s="171"/>
      <c r="C10" s="172"/>
      <c r="D10" s="172"/>
      <c r="E10" s="172"/>
      <c r="F10" s="172"/>
      <c r="G10" s="172"/>
      <c r="H10" s="172"/>
      <c r="I10" s="172"/>
      <c r="J10" s="172"/>
      <c r="K10" s="172"/>
      <c r="L10" s="172"/>
    </row>
    <row r="11" spans="2:25" ht="15" customHeight="1" thickBot="1" x14ac:dyDescent="0.3">
      <c r="B11" s="171"/>
      <c r="C11" s="221"/>
      <c r="D11" s="172" t="s">
        <v>43</v>
      </c>
      <c r="E11" s="172"/>
      <c r="F11" s="172"/>
      <c r="G11" s="172"/>
      <c r="H11" s="172"/>
      <c r="I11" s="172"/>
      <c r="J11" s="172"/>
      <c r="K11" s="172"/>
      <c r="L11" s="172"/>
    </row>
    <row r="12" spans="2:25" ht="15" customHeight="1" thickBot="1" x14ac:dyDescent="0.3">
      <c r="B12" s="171"/>
      <c r="C12" s="222"/>
      <c r="D12" s="172" t="s">
        <v>167</v>
      </c>
      <c r="E12" s="172"/>
      <c r="F12" s="172"/>
      <c r="G12" s="172"/>
      <c r="H12" s="172"/>
      <c r="I12" s="172"/>
      <c r="J12" s="172"/>
      <c r="K12" s="172"/>
      <c r="L12" s="172"/>
    </row>
    <row r="13" spans="2:25" ht="15" customHeight="1" thickBot="1" x14ac:dyDescent="0.3">
      <c r="B13" s="171"/>
      <c r="C13" s="223"/>
      <c r="D13" s="172" t="s">
        <v>168</v>
      </c>
      <c r="E13" s="172"/>
      <c r="F13" s="172"/>
      <c r="G13" s="172"/>
      <c r="H13" s="172"/>
      <c r="I13" s="172"/>
      <c r="J13" s="172"/>
      <c r="K13" s="172"/>
      <c r="L13" s="172"/>
    </row>
    <row r="14" spans="2:25" x14ac:dyDescent="0.2">
      <c r="B14" s="172"/>
      <c r="C14" s="172"/>
      <c r="D14" s="172"/>
      <c r="E14" s="172"/>
      <c r="F14" s="172"/>
      <c r="G14" s="172"/>
      <c r="H14" s="172"/>
      <c r="I14" s="172"/>
      <c r="J14" s="172"/>
      <c r="K14" s="172"/>
      <c r="L14" s="172"/>
    </row>
    <row r="16" spans="2:25" ht="20.100000000000001" customHeight="1" x14ac:dyDescent="0.2">
      <c r="B16" s="226" t="s">
        <v>173</v>
      </c>
      <c r="C16" s="226"/>
      <c r="D16" s="226"/>
      <c r="E16" s="226"/>
      <c r="F16" s="226"/>
      <c r="G16" s="226"/>
      <c r="H16" s="226"/>
      <c r="I16" s="226"/>
      <c r="J16" s="226"/>
      <c r="K16" s="226"/>
      <c r="L16" s="226"/>
    </row>
    <row r="17" spans="2:12" ht="53.85" customHeight="1" x14ac:dyDescent="0.2">
      <c r="B17" s="225" t="s">
        <v>151</v>
      </c>
      <c r="C17" s="225"/>
      <c r="D17" s="225"/>
      <c r="E17" s="225"/>
      <c r="F17" s="225"/>
      <c r="G17" s="225"/>
      <c r="H17" s="225"/>
      <c r="I17" s="225"/>
      <c r="J17" s="225"/>
      <c r="K17" s="225"/>
      <c r="L17" s="225"/>
    </row>
    <row r="19" spans="2:12" ht="20.100000000000001" customHeight="1" x14ac:dyDescent="0.2">
      <c r="B19" s="226" t="s">
        <v>169</v>
      </c>
      <c r="C19" s="226"/>
      <c r="D19" s="226"/>
      <c r="E19" s="226"/>
      <c r="F19" s="226"/>
      <c r="G19" s="226"/>
      <c r="H19" s="226"/>
      <c r="I19" s="226"/>
      <c r="J19" s="226"/>
      <c r="K19" s="226"/>
      <c r="L19" s="226"/>
    </row>
    <row r="20" spans="2:12" x14ac:dyDescent="0.2">
      <c r="B20" s="227" t="s">
        <v>170</v>
      </c>
      <c r="C20" s="228"/>
      <c r="D20" s="228"/>
      <c r="E20" s="228"/>
      <c r="F20" s="228"/>
      <c r="G20" s="228"/>
      <c r="H20" s="228"/>
      <c r="I20" s="228"/>
      <c r="J20" s="228"/>
      <c r="K20" s="228"/>
      <c r="L20" s="228"/>
    </row>
    <row r="21" spans="2:12" x14ac:dyDescent="0.2">
      <c r="B21" s="228"/>
      <c r="C21" s="228"/>
      <c r="D21" s="228"/>
      <c r="E21" s="228"/>
      <c r="F21" s="228"/>
      <c r="G21" s="228"/>
      <c r="H21" s="228"/>
      <c r="I21" s="228"/>
      <c r="J21" s="228"/>
      <c r="K21" s="228"/>
      <c r="L21" s="228"/>
    </row>
    <row r="22" spans="2:12" x14ac:dyDescent="0.2">
      <c r="B22" s="228"/>
      <c r="C22" s="228"/>
      <c r="D22" s="228"/>
      <c r="E22" s="228"/>
      <c r="F22" s="228"/>
      <c r="G22" s="228"/>
      <c r="H22" s="228"/>
      <c r="I22" s="228"/>
      <c r="J22" s="228"/>
      <c r="K22" s="228"/>
      <c r="L22" s="228"/>
    </row>
    <row r="29" spans="2:12" x14ac:dyDescent="0.2">
      <c r="E29" s="173"/>
    </row>
    <row r="30" spans="2:12" x14ac:dyDescent="0.2">
      <c r="E30" s="173"/>
    </row>
  </sheetData>
  <sheetProtection algorithmName="SHA-512" hashValue="2ttmzcoku0FFuEl82LoLd5fean3jx4x1NWbI/m8vkzAC4Lmx4yLB4eJOAHInhwZo8ji9N+MMDqYaKIBbBygeyg==" saltValue="cEUeJuLkSkDjnFbLaDvR2w==" spinCount="100000" sheet="1" objects="1" scenarios="1"/>
  <mergeCells count="8">
    <mergeCell ref="B17:L17"/>
    <mergeCell ref="B19:L19"/>
    <mergeCell ref="B20:L22"/>
    <mergeCell ref="B1:E1"/>
    <mergeCell ref="B6:L6"/>
    <mergeCell ref="B8:L8"/>
    <mergeCell ref="B16:L16"/>
    <mergeCell ref="B9:L9"/>
  </mergeCells>
  <phoneticPr fontId="2" type="noConversion"/>
  <pageMargins left="0.23622047244094491" right="0.23622047244094491" top="0.74803149606299213" bottom="0.74803149606299213" header="0.31496062992125984" footer="0.31496062992125984"/>
  <pageSetup paperSize="9" orientation="portrait"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indexed="57"/>
    <pageSetUpPr fitToPage="1"/>
  </sheetPr>
  <dimension ref="B1:X77"/>
  <sheetViews>
    <sheetView showGridLines="0" zoomScale="90" zoomScaleNormal="90" workbookViewId="0">
      <pane ySplit="3" topLeftCell="A4" activePane="bottomLeft" state="frozen"/>
      <selection activeCell="I28" sqref="I28"/>
      <selection pane="bottomLeft" activeCell="H11" sqref="H11"/>
    </sheetView>
  </sheetViews>
  <sheetFormatPr defaultColWidth="9.140625" defaultRowHeight="12.75" x14ac:dyDescent="0.2"/>
  <cols>
    <col min="1" max="1" width="3.140625" customWidth="1"/>
    <col min="2" max="2" width="37.5703125" customWidth="1"/>
    <col min="3" max="3" width="10.7109375" style="2" customWidth="1"/>
    <col min="4" max="5" width="14.140625" customWidth="1"/>
    <col min="6" max="6" width="2.85546875" customWidth="1"/>
    <col min="7" max="7" width="2.7109375" customWidth="1"/>
    <col min="8" max="8" width="25.5703125" customWidth="1"/>
    <col min="9" max="9" width="13.7109375" customWidth="1"/>
    <col min="10" max="10" width="12.28515625" customWidth="1"/>
    <col min="11" max="11" width="13.42578125" customWidth="1"/>
  </cols>
  <sheetData>
    <row r="1" spans="2:24" s="45" customFormat="1" ht="30" customHeight="1" x14ac:dyDescent="0.2">
      <c r="C1" s="231"/>
      <c r="D1" s="231"/>
      <c r="E1" s="46"/>
      <c r="F1" s="46"/>
      <c r="G1" s="46"/>
      <c r="H1" s="46"/>
      <c r="I1" s="46"/>
      <c r="J1" s="46"/>
      <c r="K1" s="46"/>
      <c r="L1" s="46"/>
      <c r="M1" s="46"/>
      <c r="N1" s="46"/>
      <c r="O1" s="46"/>
      <c r="P1" s="46"/>
      <c r="Q1" s="46"/>
      <c r="R1" s="46"/>
      <c r="S1" s="46"/>
      <c r="T1" s="46"/>
      <c r="U1" s="46"/>
      <c r="V1" s="46"/>
      <c r="W1" s="46"/>
      <c r="X1" s="46"/>
    </row>
    <row r="2" spans="2:24" ht="38.25" customHeight="1" x14ac:dyDescent="0.2">
      <c r="C2"/>
    </row>
    <row r="3" spans="2:24" s="120" customFormat="1" ht="24.95" customHeight="1" x14ac:dyDescent="0.2">
      <c r="B3" s="232" t="s">
        <v>144</v>
      </c>
      <c r="C3" s="232"/>
      <c r="D3" s="232"/>
      <c r="E3" s="232"/>
      <c r="F3" s="40"/>
      <c r="G3" s="41"/>
      <c r="H3" s="232" t="s">
        <v>145</v>
      </c>
      <c r="I3" s="232"/>
      <c r="J3" s="232"/>
      <c r="K3" s="232"/>
      <c r="L3" s="232"/>
      <c r="M3" s="232"/>
    </row>
    <row r="4" spans="2:24" ht="4.5" customHeight="1" x14ac:dyDescent="0.2">
      <c r="B4" s="7"/>
      <c r="C4" s="10"/>
      <c r="E4" s="18"/>
      <c r="F4" s="36"/>
      <c r="G4" s="37"/>
    </row>
    <row r="5" spans="2:24" ht="49.5" customHeight="1" x14ac:dyDescent="0.2">
      <c r="B5" s="7"/>
      <c r="C5" s="10"/>
      <c r="E5" s="18"/>
      <c r="F5" s="36"/>
      <c r="G5" s="37"/>
    </row>
    <row r="6" spans="2:24" ht="21" customHeight="1" x14ac:dyDescent="0.2">
      <c r="B6" s="7"/>
      <c r="C6" s="10"/>
      <c r="E6" s="18"/>
      <c r="F6" s="36"/>
      <c r="G6" s="37"/>
    </row>
    <row r="7" spans="2:24" ht="56.25" customHeight="1" thickBot="1" x14ac:dyDescent="0.4">
      <c r="B7" s="24" t="s">
        <v>77</v>
      </c>
      <c r="C7" s="52" t="s">
        <v>10</v>
      </c>
      <c r="D7" s="51" t="s">
        <v>164</v>
      </c>
      <c r="E7" s="54" t="s">
        <v>175</v>
      </c>
      <c r="F7" s="53"/>
      <c r="G7" s="37"/>
      <c r="H7" s="44" t="s">
        <v>94</v>
      </c>
      <c r="I7" s="11" t="s">
        <v>95</v>
      </c>
      <c r="J7" s="19"/>
      <c r="K7" s="19"/>
      <c r="L7" s="19"/>
      <c r="M7" s="19"/>
    </row>
    <row r="8" spans="2:24" ht="25.5" customHeight="1" thickTop="1" thickBot="1" x14ac:dyDescent="0.25">
      <c r="B8" s="111" t="s">
        <v>68</v>
      </c>
      <c r="C8" s="49" t="s">
        <v>14</v>
      </c>
      <c r="D8" s="138">
        <v>1600</v>
      </c>
      <c r="E8" s="50"/>
      <c r="F8" s="36"/>
      <c r="G8" s="37"/>
      <c r="H8" s="141" t="s">
        <v>90</v>
      </c>
      <c r="I8" s="139">
        <v>2</v>
      </c>
      <c r="J8" s="19"/>
      <c r="K8" s="19"/>
      <c r="L8" s="19"/>
      <c r="M8" s="19"/>
    </row>
    <row r="9" spans="2:24" s="23" customFormat="1" ht="25.5" customHeight="1" thickTop="1" thickBot="1" x14ac:dyDescent="0.25">
      <c r="B9" s="181" t="s">
        <v>192</v>
      </c>
      <c r="C9" s="107" t="s">
        <v>67</v>
      </c>
      <c r="D9" s="140">
        <v>95</v>
      </c>
      <c r="E9" s="109"/>
      <c r="F9" s="38"/>
      <c r="G9" s="39"/>
      <c r="H9" s="141" t="s">
        <v>91</v>
      </c>
      <c r="I9" s="139">
        <v>1.8</v>
      </c>
      <c r="M9" s="26"/>
      <c r="N9" s="26"/>
    </row>
    <row r="10" spans="2:24" s="23" customFormat="1" ht="25.5" customHeight="1" thickTop="1" thickBot="1" x14ac:dyDescent="0.25">
      <c r="B10" s="181" t="s">
        <v>181</v>
      </c>
      <c r="C10" s="107" t="s">
        <v>67</v>
      </c>
      <c r="D10" s="140">
        <v>105</v>
      </c>
      <c r="E10" s="108">
        <v>105</v>
      </c>
      <c r="F10" s="38"/>
      <c r="G10" s="39"/>
      <c r="H10" s="141" t="s">
        <v>92</v>
      </c>
      <c r="I10" s="139">
        <v>1.6</v>
      </c>
      <c r="M10" s="26"/>
      <c r="N10" s="26"/>
    </row>
    <row r="11" spans="2:24" s="23" customFormat="1" ht="25.5" customHeight="1" thickTop="1" thickBot="1" x14ac:dyDescent="0.25">
      <c r="B11" s="106" t="s">
        <v>180</v>
      </c>
      <c r="C11" s="106" t="s">
        <v>67</v>
      </c>
      <c r="D11" s="182">
        <f>IFERROR(D10-D9,0)</f>
        <v>10</v>
      </c>
      <c r="E11" s="109"/>
      <c r="F11" s="38"/>
      <c r="G11" s="39"/>
      <c r="H11" s="141" t="s">
        <v>93</v>
      </c>
      <c r="I11" s="139">
        <v>4</v>
      </c>
      <c r="M11" s="26"/>
      <c r="N11" s="26"/>
    </row>
    <row r="12" spans="2:24" s="23" customFormat="1" ht="25.5" customHeight="1" thickTop="1" thickBot="1" x14ac:dyDescent="0.25">
      <c r="B12" s="106" t="s">
        <v>76</v>
      </c>
      <c r="C12" s="106" t="s">
        <v>14</v>
      </c>
      <c r="D12" s="112">
        <f>IFERROR(365/D10,0)</f>
        <v>3.4761904761904763</v>
      </c>
      <c r="E12" s="110">
        <v>3.48</v>
      </c>
      <c r="F12" s="38"/>
      <c r="G12" s="39"/>
      <c r="H12" s="141" t="s">
        <v>102</v>
      </c>
      <c r="I12" s="139">
        <v>2</v>
      </c>
      <c r="M12" s="26"/>
      <c r="N12" s="26"/>
    </row>
    <row r="13" spans="2:24" s="23" customFormat="1" ht="25.5" customHeight="1" thickTop="1" thickBot="1" x14ac:dyDescent="0.25">
      <c r="B13" s="25"/>
      <c r="C13" s="25"/>
      <c r="D13" s="27"/>
      <c r="E13" s="28"/>
      <c r="F13" s="38"/>
      <c r="G13" s="39"/>
      <c r="H13" s="141" t="s">
        <v>136</v>
      </c>
      <c r="I13" s="139">
        <v>5</v>
      </c>
      <c r="M13" s="26"/>
      <c r="N13" s="26"/>
    </row>
    <row r="14" spans="2:24" s="23" customFormat="1" ht="25.5" customHeight="1" thickTop="1" thickBot="1" x14ac:dyDescent="0.25">
      <c r="C14" s="25"/>
      <c r="D14" s="27"/>
      <c r="E14" s="28"/>
      <c r="F14" s="38"/>
      <c r="G14" s="39"/>
      <c r="H14" s="141" t="s">
        <v>177</v>
      </c>
      <c r="I14" s="139">
        <v>2.5</v>
      </c>
      <c r="K14" s="26"/>
      <c r="L14" s="26"/>
      <c r="M14" s="26"/>
      <c r="N14" s="26"/>
    </row>
    <row r="15" spans="2:24" s="23" customFormat="1" ht="25.5" customHeight="1" thickTop="1" thickBot="1" x14ac:dyDescent="0.25">
      <c r="B15" s="34" t="s">
        <v>146</v>
      </c>
      <c r="C15" s="25"/>
      <c r="D15" s="27"/>
      <c r="E15" s="28"/>
      <c r="F15" s="38"/>
      <c r="G15" s="39"/>
      <c r="H15" s="141" t="s">
        <v>178</v>
      </c>
      <c r="I15" s="139">
        <v>2.5</v>
      </c>
      <c r="K15" s="26"/>
      <c r="L15" s="26"/>
      <c r="M15" s="26"/>
      <c r="N15" s="26"/>
    </row>
    <row r="16" spans="2:24" s="23" customFormat="1" ht="25.5" customHeight="1" thickTop="1" thickBot="1" x14ac:dyDescent="0.25">
      <c r="B16" s="106" t="s">
        <v>71</v>
      </c>
      <c r="C16" s="107" t="s">
        <v>14</v>
      </c>
      <c r="D16" s="142">
        <v>5568</v>
      </c>
      <c r="E16" s="109"/>
      <c r="F16" s="38"/>
      <c r="G16" s="39"/>
      <c r="K16" s="26"/>
      <c r="L16" s="26"/>
      <c r="M16" s="26"/>
      <c r="N16" s="26"/>
    </row>
    <row r="17" spans="2:14" s="23" customFormat="1" ht="25.5" customHeight="1" thickBot="1" x14ac:dyDescent="0.25">
      <c r="B17" s="106" t="s">
        <v>72</v>
      </c>
      <c r="C17" s="107" t="s">
        <v>14</v>
      </c>
      <c r="D17" s="142">
        <v>5512</v>
      </c>
      <c r="E17" s="109"/>
      <c r="F17" s="38"/>
      <c r="G17" s="39"/>
      <c r="H17" s="35" t="s">
        <v>96</v>
      </c>
      <c r="K17" s="26"/>
      <c r="L17" s="26"/>
      <c r="M17" s="26"/>
      <c r="N17" s="26"/>
    </row>
    <row r="18" spans="2:14" s="23" customFormat="1" ht="25.5" customHeight="1" thickTop="1" thickBot="1" x14ac:dyDescent="0.25">
      <c r="B18" s="106" t="s">
        <v>20</v>
      </c>
      <c r="C18" s="107" t="s">
        <v>66</v>
      </c>
      <c r="D18" s="126">
        <f>IFERROR((D16-D17)/D16,0)</f>
        <v>1.0057471264367816E-2</v>
      </c>
      <c r="E18" s="121">
        <v>1.7000000000000001E-2</v>
      </c>
      <c r="F18" s="38"/>
      <c r="G18" s="39"/>
      <c r="H18" s="114"/>
      <c r="I18" s="235" t="s">
        <v>128</v>
      </c>
      <c r="J18" s="236"/>
      <c r="K18" s="143">
        <v>9.4</v>
      </c>
      <c r="L18" s="26"/>
      <c r="M18" s="26"/>
      <c r="N18" s="26"/>
    </row>
    <row r="19" spans="2:14" s="23" customFormat="1" ht="25.5" customHeight="1" thickTop="1" thickBot="1" x14ac:dyDescent="0.25">
      <c r="B19" s="25"/>
      <c r="C19" s="29"/>
      <c r="D19" s="29"/>
      <c r="E19" s="25"/>
      <c r="F19" s="38"/>
      <c r="G19" s="39"/>
      <c r="H19" s="47" t="s">
        <v>97</v>
      </c>
      <c r="I19" s="235" t="s">
        <v>129</v>
      </c>
      <c r="J19" s="236"/>
      <c r="K19" s="144">
        <v>2400</v>
      </c>
      <c r="L19" s="26"/>
      <c r="M19" s="26"/>
      <c r="N19" s="26"/>
    </row>
    <row r="20" spans="2:14" s="23" customFormat="1" ht="25.5" customHeight="1" thickTop="1" thickBot="1" x14ac:dyDescent="0.25">
      <c r="B20" s="34" t="s">
        <v>73</v>
      </c>
      <c r="C20" s="25"/>
      <c r="D20" s="27"/>
      <c r="E20" s="27"/>
      <c r="F20" s="38"/>
      <c r="G20" s="39"/>
      <c r="H20" s="47" t="s">
        <v>98</v>
      </c>
      <c r="I20" s="235" t="s">
        <v>130</v>
      </c>
      <c r="J20" s="236"/>
      <c r="K20" s="180">
        <f>IFERROR(K21/K18*100,0)</f>
        <v>25.531914893617035</v>
      </c>
      <c r="L20" s="26"/>
      <c r="M20" s="26"/>
      <c r="N20" s="26"/>
    </row>
    <row r="21" spans="2:14" s="23" customFormat="1" ht="25.5" customHeight="1" thickTop="1" thickBot="1" x14ac:dyDescent="0.25">
      <c r="B21" s="106" t="s">
        <v>74</v>
      </c>
      <c r="C21" s="107" t="s">
        <v>171</v>
      </c>
      <c r="D21" s="145">
        <v>30</v>
      </c>
      <c r="E21" s="122">
        <v>32.1</v>
      </c>
      <c r="F21" s="38"/>
      <c r="G21" s="39"/>
      <c r="H21" s="48"/>
      <c r="I21" s="235" t="s">
        <v>103</v>
      </c>
      <c r="J21" s="236"/>
      <c r="K21" s="113">
        <f>IFERROR(K33/J33,0)</f>
        <v>2.4000000000000012</v>
      </c>
      <c r="L21" s="26"/>
      <c r="M21" s="26"/>
      <c r="N21" s="26"/>
    </row>
    <row r="22" spans="2:14" s="23" customFormat="1" ht="25.5" customHeight="1" thickBot="1" x14ac:dyDescent="0.25">
      <c r="B22" s="106" t="s">
        <v>19</v>
      </c>
      <c r="C22" s="107" t="s">
        <v>171</v>
      </c>
      <c r="D22" s="145">
        <v>92</v>
      </c>
      <c r="E22" s="122">
        <v>92</v>
      </c>
      <c r="F22" s="38"/>
      <c r="G22" s="39"/>
      <c r="L22" s="26"/>
      <c r="M22" s="26"/>
      <c r="N22" s="26"/>
    </row>
    <row r="23" spans="2:14" s="23" customFormat="1" ht="25.5" customHeight="1" thickBot="1" x14ac:dyDescent="0.25">
      <c r="B23" s="106" t="s">
        <v>75</v>
      </c>
      <c r="C23" s="107" t="s">
        <v>171</v>
      </c>
      <c r="D23" s="124">
        <f>D22*1.34</f>
        <v>123.28</v>
      </c>
      <c r="E23" s="109"/>
      <c r="F23" s="38"/>
      <c r="G23" s="39"/>
      <c r="I23" s="233" t="s">
        <v>99</v>
      </c>
      <c r="J23" s="233" t="s">
        <v>100</v>
      </c>
      <c r="K23" s="233" t="s">
        <v>101</v>
      </c>
      <c r="L23" s="26"/>
      <c r="M23" s="26"/>
    </row>
    <row r="24" spans="2:14" s="23" customFormat="1" ht="25.5" customHeight="1" thickBot="1" x14ac:dyDescent="0.25">
      <c r="B24" s="106" t="s">
        <v>79</v>
      </c>
      <c r="C24" s="107" t="s">
        <v>124</v>
      </c>
      <c r="D24" s="125">
        <f>IFERROR(((D23-D21)/D34)*1000,0)</f>
        <v>992.34042553191489</v>
      </c>
      <c r="E24" s="108">
        <v>965</v>
      </c>
      <c r="F24" s="38"/>
      <c r="G24" s="39"/>
      <c r="H24" s="55" t="s">
        <v>89</v>
      </c>
      <c r="I24" s="234"/>
      <c r="J24" s="234"/>
      <c r="K24" s="234"/>
      <c r="L24" s="26"/>
      <c r="M24" s="26"/>
    </row>
    <row r="25" spans="2:14" s="23" customFormat="1" ht="25.5" customHeight="1" thickTop="1" thickBot="1" x14ac:dyDescent="0.25">
      <c r="B25" s="31"/>
      <c r="C25" s="32"/>
      <c r="D25" s="29"/>
      <c r="E25" s="25"/>
      <c r="F25" s="38"/>
      <c r="G25" s="39"/>
      <c r="H25" s="179" t="str">
        <f t="shared" ref="H25:H32" si="0">H8</f>
        <v>Vete</v>
      </c>
      <c r="I25" s="146">
        <v>20</v>
      </c>
      <c r="J25" s="115">
        <f>IFERROR((I25/100)*($K$19/$K$18),0)</f>
        <v>51.063829787234042</v>
      </c>
      <c r="K25" s="116">
        <f t="shared" ref="K25:K32" si="1">J25*I8</f>
        <v>102.12765957446808</v>
      </c>
      <c r="L25" s="26"/>
      <c r="M25" s="26"/>
    </row>
    <row r="26" spans="2:14" s="23" customFormat="1" ht="25.5" customHeight="1" thickTop="1" thickBot="1" x14ac:dyDescent="0.25">
      <c r="B26" s="35" t="s">
        <v>69</v>
      </c>
      <c r="C26" s="29"/>
      <c r="D26" s="29"/>
      <c r="E26" s="33"/>
      <c r="F26" s="40"/>
      <c r="G26" s="41"/>
      <c r="H26" s="179" t="str">
        <f t="shared" si="0"/>
        <v>Korn</v>
      </c>
      <c r="I26" s="146">
        <v>40</v>
      </c>
      <c r="J26" s="115">
        <f t="shared" ref="J26:J32" si="2">IFERROR((I26/100)*($K$19/$K$18),0)</f>
        <v>102.12765957446808</v>
      </c>
      <c r="K26" s="116">
        <f t="shared" si="1"/>
        <v>183.82978723404256</v>
      </c>
      <c r="L26" s="26"/>
      <c r="M26" s="26"/>
    </row>
    <row r="27" spans="2:14" s="23" customFormat="1" ht="25.5" customHeight="1" thickTop="1" thickBot="1" x14ac:dyDescent="0.25">
      <c r="B27" s="106" t="s">
        <v>183</v>
      </c>
      <c r="C27" s="107" t="s">
        <v>131</v>
      </c>
      <c r="D27" s="147">
        <v>2400</v>
      </c>
      <c r="E27" s="108">
        <v>2393</v>
      </c>
      <c r="F27" s="40"/>
      <c r="G27" s="41"/>
      <c r="H27" s="179" t="str">
        <f t="shared" si="0"/>
        <v>Havre</v>
      </c>
      <c r="I27" s="146">
        <v>5</v>
      </c>
      <c r="J27" s="115">
        <f t="shared" si="2"/>
        <v>12.76595744680851</v>
      </c>
      <c r="K27" s="116">
        <f t="shared" si="1"/>
        <v>20.425531914893618</v>
      </c>
      <c r="L27" s="26"/>
      <c r="M27" s="26"/>
    </row>
    <row r="28" spans="2:14" s="23" customFormat="1" ht="25.5" customHeight="1" thickTop="1" thickBot="1" x14ac:dyDescent="0.25">
      <c r="B28" s="106" t="s">
        <v>165</v>
      </c>
      <c r="C28" s="107" t="s">
        <v>78</v>
      </c>
      <c r="D28" s="158">
        <v>2.56</v>
      </c>
      <c r="E28" s="109"/>
      <c r="F28" s="40"/>
      <c r="G28" s="41"/>
      <c r="H28" s="179" t="str">
        <f t="shared" si="0"/>
        <v xml:space="preserve">Koncentrat </v>
      </c>
      <c r="I28" s="146">
        <v>15</v>
      </c>
      <c r="J28" s="115">
        <f t="shared" si="2"/>
        <v>38.297872340425528</v>
      </c>
      <c r="K28" s="116">
        <f t="shared" si="1"/>
        <v>153.19148936170211</v>
      </c>
      <c r="L28" s="26"/>
      <c r="M28" s="26"/>
    </row>
    <row r="29" spans="2:14" s="23" customFormat="1" ht="25.5" customHeight="1" thickTop="1" thickBot="1" x14ac:dyDescent="0.25">
      <c r="B29" s="106" t="s">
        <v>128</v>
      </c>
      <c r="C29" s="107" t="s">
        <v>132</v>
      </c>
      <c r="D29" s="145">
        <v>9.4</v>
      </c>
      <c r="E29" s="109"/>
      <c r="F29" s="40"/>
      <c r="G29" s="41"/>
      <c r="H29" s="179" t="str">
        <f t="shared" si="0"/>
        <v>Vassle/Drank</v>
      </c>
      <c r="I29" s="146">
        <v>5</v>
      </c>
      <c r="J29" s="115">
        <f t="shared" si="2"/>
        <v>12.76595744680851</v>
      </c>
      <c r="K29" s="116">
        <f t="shared" si="1"/>
        <v>25.531914893617021</v>
      </c>
      <c r="L29" s="26"/>
      <c r="M29" s="26"/>
    </row>
    <row r="30" spans="2:14" s="23" customFormat="1" ht="25.5" customHeight="1" thickTop="1" thickBot="1" x14ac:dyDescent="0.25">
      <c r="B30" s="106" t="s">
        <v>182</v>
      </c>
      <c r="C30" s="107" t="s">
        <v>171</v>
      </c>
      <c r="D30" s="124">
        <f>IFERROR(D27/D29,0)</f>
        <v>255.31914893617019</v>
      </c>
      <c r="E30" s="109"/>
      <c r="F30" s="40"/>
      <c r="G30" s="41"/>
      <c r="H30" s="179" t="str">
        <f t="shared" si="0"/>
        <v>Soja</v>
      </c>
      <c r="I30" s="146">
        <v>5</v>
      </c>
      <c r="J30" s="115">
        <f t="shared" si="2"/>
        <v>12.76595744680851</v>
      </c>
      <c r="K30" s="116">
        <f t="shared" si="1"/>
        <v>63.829787234042556</v>
      </c>
      <c r="L30" s="26"/>
      <c r="M30" s="26"/>
    </row>
    <row r="31" spans="2:14" s="23" customFormat="1" ht="25.5" customHeight="1" thickTop="1" thickBot="1" x14ac:dyDescent="0.25">
      <c r="B31" s="106" t="s">
        <v>133</v>
      </c>
      <c r="C31" s="107" t="s">
        <v>134</v>
      </c>
      <c r="D31" s="157">
        <f>IFERROR(D28/D29*100,0)</f>
        <v>27.23404255319149</v>
      </c>
      <c r="E31" s="109"/>
      <c r="F31" s="40"/>
      <c r="G31" s="41"/>
      <c r="H31" s="179" t="str">
        <f t="shared" si="0"/>
        <v>Drank</v>
      </c>
      <c r="I31" s="146">
        <v>5</v>
      </c>
      <c r="J31" s="115">
        <f t="shared" si="2"/>
        <v>12.76595744680851</v>
      </c>
      <c r="K31" s="116">
        <f t="shared" si="1"/>
        <v>31.914893617021278</v>
      </c>
      <c r="L31" s="26"/>
      <c r="M31" s="26"/>
    </row>
    <row r="32" spans="2:14" s="23" customFormat="1" ht="25.5" customHeight="1" thickTop="1" thickBot="1" x14ac:dyDescent="0.25">
      <c r="B32" s="106" t="s">
        <v>135</v>
      </c>
      <c r="C32" s="107" t="s">
        <v>131</v>
      </c>
      <c r="D32" s="124">
        <f>IFERROR(D27/(D23-D21),0)</f>
        <v>25.728987993138936</v>
      </c>
      <c r="E32" s="122">
        <v>25.8</v>
      </c>
      <c r="F32" s="42"/>
      <c r="G32" s="43"/>
      <c r="H32" s="179" t="str">
        <f t="shared" si="0"/>
        <v>Ärter</v>
      </c>
      <c r="I32" s="146">
        <v>5</v>
      </c>
      <c r="J32" s="115">
        <f t="shared" si="2"/>
        <v>12.76595744680851</v>
      </c>
      <c r="K32" s="116">
        <f t="shared" si="1"/>
        <v>31.914893617021278</v>
      </c>
      <c r="L32" s="26"/>
      <c r="M32" s="26"/>
      <c r="N32" s="26"/>
    </row>
    <row r="33" spans="2:14" s="23" customFormat="1" ht="25.5" customHeight="1" thickTop="1" thickBot="1" x14ac:dyDescent="0.25">
      <c r="B33" s="25"/>
      <c r="C33" s="29"/>
      <c r="D33" s="28"/>
      <c r="E33" s="28"/>
      <c r="F33" s="40"/>
      <c r="G33" s="41"/>
      <c r="H33" s="117" t="s">
        <v>18</v>
      </c>
      <c r="I33" s="118">
        <f>SUM(I25:I32)</f>
        <v>100</v>
      </c>
      <c r="J33" s="118">
        <f>SUM(J25:J32)</f>
        <v>255.31914893617014</v>
      </c>
      <c r="K33" s="119">
        <f>SUM(K25:K32)</f>
        <v>612.76595744680867</v>
      </c>
      <c r="L33" s="26"/>
      <c r="M33" s="26"/>
      <c r="N33" s="26"/>
    </row>
    <row r="34" spans="2:14" s="23" customFormat="1" ht="25.5" customHeight="1" thickTop="1" thickBot="1" x14ac:dyDescent="0.25">
      <c r="B34" s="106" t="s">
        <v>70</v>
      </c>
      <c r="C34" s="107" t="s">
        <v>67</v>
      </c>
      <c r="D34" s="148">
        <v>94</v>
      </c>
      <c r="E34" s="110">
        <v>96</v>
      </c>
      <c r="F34" s="40"/>
      <c r="G34" s="41"/>
      <c r="L34" s="26"/>
      <c r="M34" s="26"/>
      <c r="N34" s="26"/>
    </row>
    <row r="35" spans="2:14" s="23" customFormat="1" ht="25.5" customHeight="1" x14ac:dyDescent="0.2">
      <c r="B35" s="25"/>
      <c r="C35" s="29"/>
      <c r="E35" s="25"/>
      <c r="F35" s="40"/>
      <c r="G35" s="41"/>
      <c r="L35" s="26"/>
      <c r="M35" s="26"/>
      <c r="N35" s="26"/>
    </row>
    <row r="36" spans="2:14" s="23" customFormat="1" ht="25.5" customHeight="1" x14ac:dyDescent="0.2">
      <c r="B36" s="25"/>
      <c r="C36" s="29"/>
      <c r="D36" s="29"/>
      <c r="E36" s="25"/>
      <c r="F36" s="40"/>
      <c r="G36" s="41"/>
    </row>
    <row r="37" spans="2:14" s="23" customFormat="1" ht="20.100000000000001" customHeight="1" x14ac:dyDescent="0.2">
      <c r="B37" s="25"/>
      <c r="C37" s="29"/>
      <c r="D37" s="20"/>
      <c r="E37" s="25"/>
      <c r="F37" s="20"/>
      <c r="G37" s="20"/>
      <c r="J37" s="26"/>
      <c r="K37" s="26"/>
    </row>
    <row r="38" spans="2:14" s="23" customFormat="1" ht="20.100000000000001" customHeight="1" x14ac:dyDescent="0.2">
      <c r="B38" s="25"/>
      <c r="C38" s="29"/>
      <c r="D38" s="30"/>
      <c r="E38" s="33"/>
      <c r="F38" s="20"/>
      <c r="G38" s="20"/>
    </row>
    <row r="39" spans="2:14" ht="14.25" customHeight="1" x14ac:dyDescent="0.25">
      <c r="B39" s="3"/>
      <c r="C39" s="12"/>
      <c r="D39" s="12"/>
      <c r="E39" s="13"/>
      <c r="F39" s="7"/>
      <c r="G39" s="7"/>
      <c r="H39" s="23"/>
      <c r="I39" s="23"/>
      <c r="J39" s="23"/>
      <c r="K39" s="23"/>
    </row>
    <row r="40" spans="2:14" ht="14.25" customHeight="1" x14ac:dyDescent="0.25">
      <c r="B40" s="3"/>
      <c r="C40" s="12"/>
      <c r="D40" s="12"/>
      <c r="E40" s="13"/>
      <c r="F40" s="7"/>
      <c r="G40" s="7"/>
      <c r="H40" s="23"/>
      <c r="I40" s="23"/>
      <c r="J40" s="23"/>
      <c r="K40" s="23"/>
    </row>
    <row r="41" spans="2:14" ht="14.25" customHeight="1" x14ac:dyDescent="0.25">
      <c r="B41" s="3"/>
      <c r="C41" s="12"/>
      <c r="D41" s="12"/>
      <c r="E41" s="12"/>
      <c r="F41" s="7"/>
      <c r="G41" s="7"/>
    </row>
    <row r="42" spans="2:14" ht="15" customHeight="1" x14ac:dyDescent="0.25">
      <c r="B42" s="8"/>
      <c r="C42" s="12"/>
      <c r="D42" s="3"/>
      <c r="E42" s="13"/>
      <c r="F42" s="3"/>
      <c r="G42" s="3"/>
      <c r="L42" s="8"/>
      <c r="M42" s="8"/>
      <c r="N42" s="8"/>
    </row>
    <row r="43" spans="2:14" ht="15" customHeight="1" x14ac:dyDescent="0.25">
      <c r="C43"/>
      <c r="F43" s="14"/>
      <c r="G43" s="14"/>
      <c r="L43" s="8"/>
      <c r="M43" s="8"/>
      <c r="N43" s="8"/>
    </row>
    <row r="44" spans="2:14" ht="15" customHeight="1" x14ac:dyDescent="0.25">
      <c r="C44"/>
      <c r="F44" s="14"/>
      <c r="G44" s="14"/>
      <c r="J44" s="8"/>
      <c r="K44" s="8"/>
      <c r="L44" s="8"/>
      <c r="M44" s="8"/>
      <c r="N44" s="8"/>
    </row>
    <row r="45" spans="2:14" ht="15" customHeight="1" x14ac:dyDescent="0.25">
      <c r="C45"/>
      <c r="F45" s="15"/>
      <c r="G45" s="15"/>
      <c r="H45" s="8"/>
      <c r="I45" s="9"/>
      <c r="J45" s="8"/>
      <c r="K45" s="8"/>
      <c r="L45" s="8"/>
      <c r="M45" s="8"/>
      <c r="N45" s="8"/>
    </row>
    <row r="46" spans="2:14" ht="15" customHeight="1" x14ac:dyDescent="0.25">
      <c r="C46"/>
      <c r="F46" s="15"/>
      <c r="G46" s="15"/>
      <c r="H46" s="8"/>
      <c r="I46" s="9"/>
      <c r="J46" s="8"/>
      <c r="K46" s="8"/>
      <c r="L46" s="8"/>
      <c r="M46" s="8"/>
      <c r="N46" s="8"/>
    </row>
    <row r="47" spans="2:14" ht="15" x14ac:dyDescent="0.25">
      <c r="C47"/>
      <c r="F47" s="16"/>
      <c r="G47" s="16"/>
      <c r="H47" s="8"/>
      <c r="I47" s="8"/>
      <c r="J47" s="8"/>
      <c r="K47" s="8"/>
    </row>
    <row r="48" spans="2:14" ht="15" x14ac:dyDescent="0.25">
      <c r="C48"/>
      <c r="F48" s="16"/>
      <c r="G48" s="16"/>
      <c r="H48" s="8"/>
      <c r="I48" s="8"/>
      <c r="J48" s="8"/>
      <c r="K48" s="8"/>
    </row>
    <row r="49" spans="2:7" x14ac:dyDescent="0.2">
      <c r="C49"/>
      <c r="F49" s="16"/>
      <c r="G49" s="16"/>
    </row>
    <row r="50" spans="2:7" ht="15" x14ac:dyDescent="0.25">
      <c r="B50" s="3"/>
      <c r="C50" s="12"/>
      <c r="D50" s="3"/>
      <c r="E50" s="3"/>
    </row>
    <row r="51" spans="2:7" ht="15" x14ac:dyDescent="0.25">
      <c r="B51" s="3"/>
      <c r="C51" s="12"/>
      <c r="D51" s="3"/>
      <c r="E51" s="3"/>
    </row>
    <row r="52" spans="2:7" ht="15" x14ac:dyDescent="0.25">
      <c r="B52" s="3"/>
      <c r="C52" s="12"/>
      <c r="D52" s="3"/>
      <c r="E52" s="3"/>
    </row>
    <row r="53" spans="2:7" ht="15" x14ac:dyDescent="0.25">
      <c r="B53" s="3"/>
      <c r="C53" s="12"/>
      <c r="D53" s="3"/>
      <c r="E53" s="3"/>
    </row>
    <row r="54" spans="2:7" ht="15" x14ac:dyDescent="0.25">
      <c r="B54" s="3"/>
      <c r="C54" s="12"/>
      <c r="D54" s="3"/>
      <c r="E54" s="3"/>
    </row>
    <row r="55" spans="2:7" ht="15" x14ac:dyDescent="0.25">
      <c r="B55" s="3"/>
      <c r="C55" s="12"/>
      <c r="D55" s="3"/>
      <c r="E55" s="3"/>
    </row>
    <row r="56" spans="2:7" ht="15" x14ac:dyDescent="0.25">
      <c r="B56" s="3"/>
      <c r="C56" s="12"/>
      <c r="D56" s="3"/>
      <c r="E56" s="3"/>
    </row>
    <row r="57" spans="2:7" ht="15" x14ac:dyDescent="0.25">
      <c r="B57" s="3"/>
      <c r="C57" s="12"/>
      <c r="D57" s="3"/>
      <c r="E57" s="3"/>
    </row>
    <row r="58" spans="2:7" ht="15" x14ac:dyDescent="0.25">
      <c r="B58" s="3"/>
      <c r="C58" s="12"/>
      <c r="D58" s="3"/>
      <c r="E58" s="3"/>
    </row>
    <row r="59" spans="2:7" ht="15" x14ac:dyDescent="0.25">
      <c r="B59" s="3"/>
      <c r="C59" s="12"/>
      <c r="D59" s="3"/>
      <c r="E59" s="3"/>
    </row>
    <row r="60" spans="2:7" ht="15" x14ac:dyDescent="0.25">
      <c r="B60" s="3"/>
      <c r="C60" s="12"/>
      <c r="D60" s="12"/>
      <c r="E60" s="13"/>
      <c r="F60" s="7"/>
      <c r="G60" s="7"/>
    </row>
    <row r="61" spans="2:7" ht="15" x14ac:dyDescent="0.25">
      <c r="B61" s="3"/>
      <c r="C61" s="12"/>
      <c r="D61" s="3"/>
      <c r="E61" s="3"/>
    </row>
    <row r="62" spans="2:7" ht="15" x14ac:dyDescent="0.25">
      <c r="B62" s="3"/>
      <c r="C62" s="12"/>
      <c r="D62" s="3"/>
      <c r="E62" s="3"/>
    </row>
    <row r="63" spans="2:7" ht="15" x14ac:dyDescent="0.25">
      <c r="B63" s="3"/>
      <c r="C63" s="12"/>
      <c r="D63" s="3"/>
      <c r="E63" s="3"/>
    </row>
    <row r="64" spans="2:7" ht="15" x14ac:dyDescent="0.25">
      <c r="B64" s="3"/>
      <c r="C64" s="12"/>
      <c r="D64" s="3"/>
      <c r="E64" s="3"/>
    </row>
    <row r="65" spans="2:5" ht="15" x14ac:dyDescent="0.25">
      <c r="B65" s="3"/>
      <c r="C65" s="12"/>
      <c r="D65" s="3"/>
      <c r="E65" s="3"/>
    </row>
    <row r="66" spans="2:5" ht="15" x14ac:dyDescent="0.25">
      <c r="B66" s="3"/>
      <c r="C66" s="12"/>
      <c r="D66" s="3"/>
      <c r="E66" s="3"/>
    </row>
    <row r="67" spans="2:5" ht="15" x14ac:dyDescent="0.25">
      <c r="B67" s="3"/>
      <c r="C67" s="12"/>
      <c r="D67" s="3"/>
      <c r="E67" s="3"/>
    </row>
    <row r="68" spans="2:5" ht="15" x14ac:dyDescent="0.25">
      <c r="B68" s="3"/>
      <c r="C68" s="12"/>
      <c r="D68" s="3"/>
      <c r="E68" s="3"/>
    </row>
    <row r="69" spans="2:5" ht="15" x14ac:dyDescent="0.25">
      <c r="B69" s="3"/>
      <c r="C69" s="12"/>
      <c r="D69" s="3"/>
      <c r="E69" s="3"/>
    </row>
    <row r="70" spans="2:5" ht="15" x14ac:dyDescent="0.25">
      <c r="B70" s="3"/>
      <c r="C70" s="12"/>
      <c r="D70" s="3"/>
      <c r="E70" s="3"/>
    </row>
    <row r="71" spans="2:5" ht="15" x14ac:dyDescent="0.25">
      <c r="B71" s="3"/>
      <c r="C71" s="12"/>
      <c r="D71" s="3"/>
      <c r="E71" s="3"/>
    </row>
    <row r="72" spans="2:5" ht="15" x14ac:dyDescent="0.25">
      <c r="B72" s="3"/>
      <c r="C72" s="12"/>
      <c r="D72" s="3"/>
      <c r="E72" s="3"/>
    </row>
    <row r="73" spans="2:5" ht="15" x14ac:dyDescent="0.25">
      <c r="B73" s="3"/>
      <c r="C73" s="12"/>
      <c r="D73" s="3"/>
      <c r="E73" s="3"/>
    </row>
    <row r="74" spans="2:5" ht="15" x14ac:dyDescent="0.25">
      <c r="B74" s="3"/>
      <c r="C74" s="12"/>
      <c r="D74" s="3"/>
      <c r="E74" s="3"/>
    </row>
    <row r="75" spans="2:5" ht="15" x14ac:dyDescent="0.25">
      <c r="B75" s="3"/>
      <c r="C75" s="12"/>
      <c r="D75" s="3"/>
      <c r="E75" s="3"/>
    </row>
    <row r="76" spans="2:5" ht="15" x14ac:dyDescent="0.25">
      <c r="B76" s="3"/>
      <c r="C76" s="12"/>
      <c r="D76" s="3"/>
      <c r="E76" s="3"/>
    </row>
    <row r="77" spans="2:5" ht="15" x14ac:dyDescent="0.25">
      <c r="B77" s="3"/>
      <c r="C77" s="12"/>
      <c r="D77" s="3"/>
      <c r="E77" s="3"/>
    </row>
  </sheetData>
  <sheetProtection algorithmName="SHA-512" hashValue="Ror+4XcFw6mVLCIhe/rPGCXJxQ25hate6iHpcKtHupyMLvlkt5FmHMfQeYsrBGP/ITpqj0Yi/CUwjea2RUz3tg==" saltValue="l1Y4n8WeD9JNKCxYQoY3RQ==" spinCount="100000" sheet="1" selectLockedCells="1"/>
  <mergeCells count="10">
    <mergeCell ref="C1:D1"/>
    <mergeCell ref="B3:E3"/>
    <mergeCell ref="H3:M3"/>
    <mergeCell ref="K23:K24"/>
    <mergeCell ref="I18:J18"/>
    <mergeCell ref="I19:J19"/>
    <mergeCell ref="I20:J20"/>
    <mergeCell ref="I21:J21"/>
    <mergeCell ref="I23:I24"/>
    <mergeCell ref="J23:J24"/>
  </mergeCells>
  <phoneticPr fontId="2" type="noConversion"/>
  <printOptions horizontalCentered="1"/>
  <pageMargins left="0.23622047244094491" right="0.23622047244094491" top="0.74803149606299213" bottom="0.74803149606299213" header="0.31496062992125984" footer="0.31496062992125984"/>
  <pageSetup paperSize="9" scale="80" orientation="portrait" r:id="rId1"/>
  <headerFooter alignWithMargins="0"/>
  <ignoredErrors>
    <ignoredError sqref="D23" unlockedFormula="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indexed="57"/>
  </sheetPr>
  <dimension ref="B1:W59"/>
  <sheetViews>
    <sheetView showGridLines="0" zoomScale="90" zoomScaleNormal="90" zoomScaleSheetLayoutView="90" workbookViewId="0">
      <pane ySplit="3" topLeftCell="A29" activePane="bottomLeft" state="frozen"/>
      <selection activeCell="I28" sqref="I28"/>
      <selection pane="bottomLeft" activeCell="E55" sqref="E55"/>
    </sheetView>
  </sheetViews>
  <sheetFormatPr defaultColWidth="9.140625" defaultRowHeight="12.75" x14ac:dyDescent="0.2"/>
  <cols>
    <col min="1" max="1" width="3" customWidth="1"/>
    <col min="2" max="2" width="48.85546875" style="7" customWidth="1"/>
    <col min="3" max="3" width="11.42578125" style="7" customWidth="1"/>
    <col min="4" max="4" width="9" style="56" customWidth="1"/>
    <col min="5" max="5" width="10.28515625" style="7" customWidth="1"/>
    <col min="6" max="6" width="11.42578125" style="7" customWidth="1"/>
    <col min="7" max="7" width="12.7109375" style="7" customWidth="1"/>
    <col min="8" max="8" width="1" style="7" customWidth="1"/>
    <col min="9" max="9" width="0.7109375" style="7" customWidth="1"/>
    <col min="10" max="10" width="64.140625" style="7" customWidth="1"/>
    <col min="11" max="11" width="40.42578125" style="7" customWidth="1"/>
  </cols>
  <sheetData>
    <row r="1" spans="2:23" s="45" customFormat="1" ht="30" customHeight="1" x14ac:dyDescent="0.2">
      <c r="C1" s="231"/>
      <c r="D1" s="231"/>
      <c r="E1" s="46"/>
      <c r="F1" s="46"/>
      <c r="G1" s="46"/>
      <c r="H1" s="46"/>
      <c r="I1" s="46"/>
      <c r="J1" s="46"/>
      <c r="K1" s="46"/>
      <c r="L1" s="46"/>
      <c r="M1" s="46"/>
      <c r="N1" s="46"/>
      <c r="O1" s="46"/>
      <c r="P1" s="46"/>
      <c r="Q1" s="46"/>
      <c r="R1" s="46"/>
      <c r="S1" s="46"/>
      <c r="T1" s="46"/>
      <c r="U1" s="46"/>
      <c r="V1" s="46"/>
      <c r="W1" s="46"/>
    </row>
    <row r="2" spans="2:23" ht="38.25" customHeight="1" x14ac:dyDescent="0.2">
      <c r="B2"/>
      <c r="C2"/>
      <c r="D2" s="22"/>
      <c r="E2"/>
      <c r="F2"/>
      <c r="G2"/>
      <c r="H2"/>
      <c r="I2"/>
      <c r="J2"/>
      <c r="K2"/>
    </row>
    <row r="3" spans="2:23" s="23" customFormat="1" ht="24.95" customHeight="1" x14ac:dyDescent="0.2">
      <c r="B3" s="232" t="s">
        <v>186</v>
      </c>
      <c r="C3" s="232"/>
      <c r="D3" s="232"/>
      <c r="E3" s="232"/>
      <c r="F3" s="232"/>
      <c r="G3" s="232"/>
      <c r="I3" s="20"/>
      <c r="J3" s="245" t="s">
        <v>147</v>
      </c>
      <c r="K3" s="245"/>
    </row>
    <row r="4" spans="2:23" ht="44.25" customHeight="1" x14ac:dyDescent="0.3">
      <c r="C4" s="239"/>
      <c r="D4" s="239"/>
      <c r="E4" s="239"/>
      <c r="F4" s="239"/>
      <c r="G4" s="239"/>
      <c r="J4" s="1"/>
    </row>
    <row r="5" spans="2:23" x14ac:dyDescent="0.2">
      <c r="D5" s="7"/>
    </row>
    <row r="6" spans="2:23" s="58" customFormat="1" ht="21.75" thickBot="1" x14ac:dyDescent="0.4">
      <c r="B6" s="24" t="s">
        <v>118</v>
      </c>
      <c r="C6" s="7" t="s">
        <v>10</v>
      </c>
      <c r="D6" s="56" t="s">
        <v>15</v>
      </c>
      <c r="E6" s="56" t="s">
        <v>11</v>
      </c>
      <c r="F6" s="56" t="s">
        <v>44</v>
      </c>
      <c r="G6" s="56" t="s">
        <v>62</v>
      </c>
      <c r="H6" s="59"/>
      <c r="I6" s="59"/>
      <c r="J6" s="243"/>
      <c r="K6" s="244"/>
    </row>
    <row r="7" spans="2:23" s="23" customFormat="1" ht="20.100000000000001" customHeight="1" thickTop="1" thickBot="1" x14ac:dyDescent="0.25">
      <c r="B7" s="60" t="s">
        <v>23</v>
      </c>
      <c r="C7" s="60" t="s">
        <v>37</v>
      </c>
      <c r="D7" s="149">
        <v>100000</v>
      </c>
      <c r="E7" s="137">
        <v>0.9</v>
      </c>
      <c r="F7" s="64">
        <f>D7*E7</f>
        <v>90000</v>
      </c>
      <c r="G7" s="63">
        <f>IFERROR(F7/('Mina produktionsnyckeltal'!$D$8*'Mina produktionsnyckeltal'!$D$12),0)</f>
        <v>16.181506849315067</v>
      </c>
      <c r="H7" s="20"/>
      <c r="I7" s="20"/>
      <c r="J7" s="240" t="s">
        <v>63</v>
      </c>
      <c r="K7" s="241"/>
    </row>
    <row r="8" spans="2:23" s="23" customFormat="1" ht="20.100000000000001" customHeight="1" thickTop="1" thickBot="1" x14ac:dyDescent="0.25">
      <c r="B8" s="60" t="s">
        <v>33</v>
      </c>
      <c r="C8" s="60" t="s">
        <v>29</v>
      </c>
      <c r="D8" s="149"/>
      <c r="E8" s="137"/>
      <c r="F8" s="64">
        <f>D8*E8</f>
        <v>0</v>
      </c>
      <c r="G8" s="63">
        <f>IFERROR(F8/('Mina produktionsnyckeltal'!$D$8*'Mina produktionsnyckeltal'!$D$12),0)</f>
        <v>0</v>
      </c>
      <c r="H8" s="20"/>
      <c r="I8" s="20"/>
      <c r="J8" s="242" t="s">
        <v>64</v>
      </c>
      <c r="K8" s="242"/>
    </row>
    <row r="9" spans="2:23" s="23" customFormat="1" ht="20.100000000000001" customHeight="1" thickTop="1" thickBot="1" x14ac:dyDescent="0.25">
      <c r="B9" s="60" t="s">
        <v>34</v>
      </c>
      <c r="C9" s="60" t="s">
        <v>36</v>
      </c>
      <c r="D9" s="149"/>
      <c r="E9" s="137"/>
      <c r="F9" s="64">
        <f>D9*E9</f>
        <v>0</v>
      </c>
      <c r="G9" s="63">
        <f>IFERROR(F9/('Mina produktionsnyckeltal'!$D$8*'Mina produktionsnyckeltal'!$D$12),0)</f>
        <v>0</v>
      </c>
      <c r="H9" s="20"/>
      <c r="I9" s="20"/>
      <c r="J9" s="237" t="s">
        <v>153</v>
      </c>
      <c r="K9" s="238"/>
    </row>
    <row r="10" spans="2:23" s="23" customFormat="1" ht="20.100000000000001" customHeight="1" thickTop="1" thickBot="1" x14ac:dyDescent="0.25">
      <c r="B10" s="60" t="s">
        <v>35</v>
      </c>
      <c r="C10" s="60" t="s">
        <v>37</v>
      </c>
      <c r="D10" s="149"/>
      <c r="E10" s="137"/>
      <c r="F10" s="64">
        <f>D10*E10</f>
        <v>0</v>
      </c>
      <c r="G10" s="63">
        <f>IFERROR(F10/('Mina produktionsnyckeltal'!$D$8*'Mina produktionsnyckeltal'!$D$12),0)</f>
        <v>0</v>
      </c>
      <c r="H10" s="20"/>
      <c r="I10" s="20"/>
      <c r="J10" s="238"/>
      <c r="K10" s="238"/>
    </row>
    <row r="11" spans="2:23" s="23" customFormat="1" ht="20.100000000000001" customHeight="1" thickTop="1" thickBot="1" x14ac:dyDescent="0.25">
      <c r="B11" s="60" t="s">
        <v>38</v>
      </c>
      <c r="C11" s="60" t="s">
        <v>29</v>
      </c>
      <c r="D11" s="149"/>
      <c r="E11" s="137"/>
      <c r="F11" s="64">
        <f>D11*E11</f>
        <v>0</v>
      </c>
      <c r="G11" s="63">
        <f>IFERROR(F11/('Mina produktionsnyckeltal'!$D$8*'Mina produktionsnyckeltal'!$D$12),0)</f>
        <v>0</v>
      </c>
      <c r="H11" s="20"/>
      <c r="I11" s="20"/>
      <c r="J11" s="246" t="s">
        <v>138</v>
      </c>
      <c r="K11" s="242"/>
    </row>
    <row r="12" spans="2:23" s="23" customFormat="1" ht="20.100000000000001" customHeight="1" thickTop="1" thickBot="1" x14ac:dyDescent="0.25">
      <c r="B12" s="66" t="s">
        <v>127</v>
      </c>
      <c r="C12" s="66"/>
      <c r="D12" s="67"/>
      <c r="E12" s="68"/>
      <c r="F12" s="90">
        <f>SUM(F7:F11)</f>
        <v>90000</v>
      </c>
      <c r="G12" s="105">
        <f>SUM(G7:G11)</f>
        <v>16.181506849315067</v>
      </c>
      <c r="H12" s="20"/>
      <c r="I12" s="20"/>
      <c r="J12" s="249" t="s">
        <v>139</v>
      </c>
      <c r="K12" s="249"/>
    </row>
    <row r="13" spans="2:23" ht="30" customHeight="1" thickTop="1" x14ac:dyDescent="0.2">
      <c r="D13" s="65"/>
      <c r="F13" s="10"/>
      <c r="G13" s="17"/>
    </row>
    <row r="14" spans="2:23" s="58" customFormat="1" ht="21.75" thickBot="1" x14ac:dyDescent="0.4">
      <c r="B14" s="24" t="s">
        <v>162</v>
      </c>
      <c r="C14" s="7" t="s">
        <v>10</v>
      </c>
      <c r="E14" s="131"/>
      <c r="F14" s="132" t="s">
        <v>44</v>
      </c>
      <c r="G14" s="7" t="s">
        <v>62</v>
      </c>
      <c r="H14" s="59"/>
      <c r="I14" s="59"/>
      <c r="J14" s="243"/>
      <c r="K14" s="244"/>
    </row>
    <row r="15" spans="2:23" s="23" customFormat="1" ht="20.100000000000001" customHeight="1" thickTop="1" thickBot="1" x14ac:dyDescent="0.25">
      <c r="B15" s="60" t="s">
        <v>45</v>
      </c>
      <c r="C15" s="60" t="s">
        <v>46</v>
      </c>
      <c r="F15" s="150">
        <v>5000</v>
      </c>
      <c r="G15" s="63">
        <f>IFERROR(F15/('Mina produktionsnyckeltal'!$D$8*'Mina produktionsnyckeltal'!$D$12),0)</f>
        <v>0.8989726027397259</v>
      </c>
      <c r="H15" s="20"/>
      <c r="I15" s="20"/>
      <c r="J15" s="247" t="s">
        <v>184</v>
      </c>
      <c r="K15" s="241"/>
    </row>
    <row r="16" spans="2:23" s="23" customFormat="1" ht="20.100000000000001" customHeight="1" thickTop="1" thickBot="1" x14ac:dyDescent="0.25">
      <c r="B16" s="60" t="s">
        <v>141</v>
      </c>
      <c r="C16" s="60" t="s">
        <v>46</v>
      </c>
      <c r="F16" s="150">
        <v>5000</v>
      </c>
      <c r="G16" s="63">
        <f>IFERROR(F16/('Mina produktionsnyckeltal'!$D$8*'Mina produktionsnyckeltal'!$D$12),0)</f>
        <v>0.8989726027397259</v>
      </c>
      <c r="H16" s="20"/>
      <c r="I16" s="20"/>
      <c r="J16" s="248" t="s">
        <v>176</v>
      </c>
      <c r="K16" s="242"/>
    </row>
    <row r="17" spans="2:11" s="23" customFormat="1" ht="20.100000000000001" customHeight="1" thickTop="1" thickBot="1" x14ac:dyDescent="0.25">
      <c r="B17" s="66" t="s">
        <v>119</v>
      </c>
      <c r="C17" s="66"/>
      <c r="D17" s="67"/>
      <c r="E17" s="68"/>
      <c r="F17" s="90">
        <f>SUM(F15:F16)</f>
        <v>10000</v>
      </c>
      <c r="G17" s="105">
        <f>SUM(G15:G16)</f>
        <v>1.7979452054794518</v>
      </c>
      <c r="H17" s="20"/>
      <c r="I17" s="20"/>
      <c r="J17" s="249" t="s">
        <v>159</v>
      </c>
      <c r="K17" s="249"/>
    </row>
    <row r="18" spans="2:11" ht="30" customHeight="1" thickTop="1" x14ac:dyDescent="0.2">
      <c r="D18" s="65"/>
      <c r="E18" s="10"/>
      <c r="F18" s="10"/>
      <c r="G18" s="17"/>
    </row>
    <row r="19" spans="2:11" s="58" customFormat="1" ht="21.75" thickBot="1" x14ac:dyDescent="0.4">
      <c r="B19" s="24" t="s">
        <v>137</v>
      </c>
      <c r="C19" s="7" t="s">
        <v>10</v>
      </c>
      <c r="E19" s="131"/>
      <c r="F19" s="132" t="s">
        <v>44</v>
      </c>
      <c r="G19" s="7" t="s">
        <v>62</v>
      </c>
      <c r="H19" s="59"/>
      <c r="I19" s="59"/>
      <c r="J19" s="175" t="s">
        <v>158</v>
      </c>
      <c r="K19" s="176"/>
    </row>
    <row r="20" spans="2:11" s="23" customFormat="1" ht="20.100000000000001" customHeight="1" thickTop="1" thickBot="1" x14ac:dyDescent="0.25">
      <c r="B20" s="60" t="s">
        <v>120</v>
      </c>
      <c r="C20" s="60" t="s">
        <v>163</v>
      </c>
      <c r="D20" s="133"/>
      <c r="E20" s="134"/>
      <c r="F20" s="150">
        <v>7000</v>
      </c>
      <c r="G20" s="63">
        <f>IFERROR(F20/('Mina produktionsnyckeltal'!$D$8*'Mina produktionsnyckeltal'!$D$12),0)</f>
        <v>1.2585616438356164</v>
      </c>
      <c r="H20" s="20"/>
      <c r="I20" s="20"/>
      <c r="J20" s="135" t="s">
        <v>154</v>
      </c>
      <c r="K20" s="123">
        <v>3600</v>
      </c>
    </row>
    <row r="21" spans="2:11" s="23" customFormat="1" ht="20.100000000000001" customHeight="1" thickTop="1" thickBot="1" x14ac:dyDescent="0.25">
      <c r="B21" s="60" t="s">
        <v>47</v>
      </c>
      <c r="C21" s="60" t="s">
        <v>163</v>
      </c>
      <c r="D21" s="133"/>
      <c r="E21" s="134"/>
      <c r="F21" s="150">
        <v>3000</v>
      </c>
      <c r="G21" s="63">
        <f>IFERROR(F21/('Mina produktionsnyckeltal'!$D$8*'Mina produktionsnyckeltal'!$D$12),0)</f>
        <v>0.53938356164383561</v>
      </c>
      <c r="H21" s="20"/>
      <c r="I21" s="20"/>
      <c r="J21" s="136" t="s">
        <v>155</v>
      </c>
      <c r="K21" s="123">
        <v>4600</v>
      </c>
    </row>
    <row r="22" spans="2:11" s="23" customFormat="1" ht="20.100000000000001" customHeight="1" thickTop="1" thickBot="1" x14ac:dyDescent="0.25">
      <c r="B22" s="60" t="s">
        <v>42</v>
      </c>
      <c r="C22" s="60" t="s">
        <v>163</v>
      </c>
      <c r="D22" s="133"/>
      <c r="E22" s="134"/>
      <c r="F22" s="150">
        <v>2000</v>
      </c>
      <c r="G22" s="63">
        <f>IFERROR(F22/('Mina produktionsnyckeltal'!$D$8*'Mina produktionsnyckeltal'!$D$12),0)</f>
        <v>0.3595890410958904</v>
      </c>
      <c r="H22" s="20"/>
      <c r="I22" s="20"/>
      <c r="J22" s="135" t="s">
        <v>156</v>
      </c>
      <c r="K22" s="123">
        <v>6600</v>
      </c>
    </row>
    <row r="23" spans="2:11" s="23" customFormat="1" ht="20.100000000000001" customHeight="1" thickTop="1" thickBot="1" x14ac:dyDescent="0.25">
      <c r="B23" s="66" t="s">
        <v>48</v>
      </c>
      <c r="C23" s="66"/>
      <c r="D23" s="67"/>
      <c r="E23" s="67"/>
      <c r="F23" s="90">
        <f>SUM(F20:F22)</f>
        <v>12000</v>
      </c>
      <c r="G23" s="105">
        <f>G20+G21+G22</f>
        <v>2.1575342465753424</v>
      </c>
      <c r="H23" s="20"/>
      <c r="I23" s="20"/>
      <c r="J23" s="177" t="s">
        <v>157</v>
      </c>
      <c r="K23" s="178">
        <v>9800</v>
      </c>
    </row>
    <row r="24" spans="2:11" ht="30" customHeight="1" thickTop="1" x14ac:dyDescent="0.2">
      <c r="D24" s="65"/>
      <c r="F24" s="10"/>
      <c r="G24" s="17"/>
    </row>
    <row r="25" spans="2:11" s="24" customFormat="1" ht="21.75" thickBot="1" x14ac:dyDescent="0.4">
      <c r="B25" s="24" t="s">
        <v>83</v>
      </c>
      <c r="C25" s="7" t="s">
        <v>10</v>
      </c>
      <c r="D25" s="56" t="s">
        <v>15</v>
      </c>
      <c r="E25" s="56" t="s">
        <v>11</v>
      </c>
      <c r="F25" s="56" t="s">
        <v>44</v>
      </c>
      <c r="G25" s="7" t="s">
        <v>62</v>
      </c>
      <c r="J25" s="243"/>
      <c r="K25" s="244"/>
    </row>
    <row r="26" spans="2:11" s="23" customFormat="1" ht="20.100000000000001" customHeight="1" thickTop="1" thickBot="1" x14ac:dyDescent="0.25">
      <c r="B26" s="60" t="s">
        <v>49</v>
      </c>
      <c r="C26" s="60" t="s">
        <v>50</v>
      </c>
      <c r="D26" s="151">
        <v>10000</v>
      </c>
      <c r="E26" s="137">
        <v>0.8</v>
      </c>
      <c r="F26" s="64">
        <f>D26*E26</f>
        <v>8000</v>
      </c>
      <c r="G26" s="63">
        <f>IFERROR(F26/('Mina produktionsnyckeltal'!$D$8*'Mina produktionsnyckeltal'!$D$12),0)</f>
        <v>1.4383561643835616</v>
      </c>
      <c r="H26" s="20"/>
      <c r="I26" s="20"/>
      <c r="J26" s="241" t="s">
        <v>140</v>
      </c>
      <c r="K26" s="241"/>
    </row>
    <row r="27" spans="2:11" s="23" customFormat="1" ht="20.100000000000001" customHeight="1" thickTop="1" thickBot="1" x14ac:dyDescent="0.25">
      <c r="B27" s="60" t="s">
        <v>51</v>
      </c>
      <c r="C27" s="60" t="s">
        <v>50</v>
      </c>
      <c r="D27" s="151">
        <v>3000</v>
      </c>
      <c r="E27" s="137">
        <v>1</v>
      </c>
      <c r="F27" s="64">
        <f>D27*E27</f>
        <v>3000</v>
      </c>
      <c r="G27" s="63">
        <f>IFERROR(F27/('Mina produktionsnyckeltal'!$D$8*'Mina produktionsnyckeltal'!$D$12),0)</f>
        <v>0.53938356164383561</v>
      </c>
      <c r="H27" s="20"/>
      <c r="I27" s="20"/>
      <c r="J27" s="242"/>
      <c r="K27" s="242"/>
    </row>
    <row r="28" spans="2:11" s="23" customFormat="1" ht="20.100000000000001" customHeight="1" thickTop="1" thickBot="1" x14ac:dyDescent="0.25">
      <c r="B28" s="60" t="s">
        <v>42</v>
      </c>
      <c r="C28" s="60" t="s">
        <v>50</v>
      </c>
      <c r="D28" s="151">
        <v>2000</v>
      </c>
      <c r="E28" s="137">
        <v>3</v>
      </c>
      <c r="F28" s="64">
        <f>D28*E28</f>
        <v>6000</v>
      </c>
      <c r="G28" s="63">
        <f>IFERROR(F28/('Mina produktionsnyckeltal'!$D$8*'Mina produktionsnyckeltal'!$D$12),0)</f>
        <v>1.0787671232876712</v>
      </c>
      <c r="H28" s="20"/>
      <c r="I28" s="20"/>
      <c r="J28" s="250"/>
      <c r="K28" s="242"/>
    </row>
    <row r="29" spans="2:11" s="61" customFormat="1" ht="20.100000000000001" customHeight="1" thickTop="1" thickBot="1" x14ac:dyDescent="0.25">
      <c r="B29" s="66" t="s">
        <v>52</v>
      </c>
      <c r="C29" s="66"/>
      <c r="D29" s="67"/>
      <c r="E29" s="68"/>
      <c r="F29" s="90">
        <f>SUM(F26:F28)</f>
        <v>17000</v>
      </c>
      <c r="G29" s="105">
        <f>SUM(G26:G28)</f>
        <v>3.0565068493150687</v>
      </c>
      <c r="J29" s="251"/>
      <c r="K29" s="249"/>
    </row>
    <row r="30" spans="2:11" ht="30" customHeight="1" thickTop="1" x14ac:dyDescent="0.2">
      <c r="D30" s="65"/>
      <c r="F30" s="10"/>
      <c r="G30" s="17"/>
    </row>
    <row r="31" spans="2:11" s="58" customFormat="1" ht="21.75" thickBot="1" x14ac:dyDescent="0.4">
      <c r="B31" s="24" t="s">
        <v>125</v>
      </c>
      <c r="C31" s="7" t="s">
        <v>10</v>
      </c>
      <c r="D31" s="56" t="s">
        <v>15</v>
      </c>
      <c r="E31" s="56" t="s">
        <v>11</v>
      </c>
      <c r="F31" s="56" t="s">
        <v>44</v>
      </c>
      <c r="G31" s="7" t="s">
        <v>62</v>
      </c>
      <c r="H31" s="59"/>
      <c r="I31" s="59"/>
      <c r="J31" s="243"/>
      <c r="K31" s="244"/>
    </row>
    <row r="32" spans="2:11" s="23" customFormat="1" ht="20.100000000000001" customHeight="1" thickTop="1" thickBot="1" x14ac:dyDescent="0.25">
      <c r="B32" s="60" t="s">
        <v>87</v>
      </c>
      <c r="C32" s="60" t="s">
        <v>16</v>
      </c>
      <c r="D32" s="149">
        <v>1</v>
      </c>
      <c r="E32" s="152">
        <v>2500</v>
      </c>
      <c r="F32" s="64">
        <f t="shared" ref="F32" si="0">D32*E32</f>
        <v>2500</v>
      </c>
      <c r="G32" s="63">
        <f>IFERROR(F32/('Mina produktionsnyckeltal'!$D$8*'Mina produktionsnyckeltal'!$D$12),0)</f>
        <v>0.44948630136986295</v>
      </c>
      <c r="H32" s="20"/>
      <c r="I32" s="20"/>
      <c r="J32" s="240" t="s">
        <v>86</v>
      </c>
      <c r="K32" s="241"/>
    </row>
    <row r="33" spans="2:11" s="23" customFormat="1" ht="20.100000000000001" customHeight="1" thickTop="1" thickBot="1" x14ac:dyDescent="0.25">
      <c r="B33" s="60" t="s">
        <v>121</v>
      </c>
      <c r="C33" s="60" t="s">
        <v>16</v>
      </c>
      <c r="D33" s="263"/>
      <c r="E33" s="264"/>
      <c r="F33" s="154">
        <v>10000</v>
      </c>
      <c r="G33" s="63">
        <f>IFERROR(F33/('Mina produktionsnyckeltal'!$D$8*'Mina produktionsnyckeltal'!$D$12),0)</f>
        <v>1.7979452054794518</v>
      </c>
      <c r="H33" s="20"/>
      <c r="I33" s="20"/>
      <c r="J33" s="160" t="s">
        <v>88</v>
      </c>
      <c r="K33" s="159"/>
    </row>
    <row r="34" spans="2:11" s="23" customFormat="1" ht="20.100000000000001" customHeight="1" thickTop="1" thickBot="1" x14ac:dyDescent="0.25">
      <c r="B34" s="60" t="s">
        <v>53</v>
      </c>
      <c r="C34" s="60" t="s">
        <v>32</v>
      </c>
      <c r="D34" s="149">
        <v>56</v>
      </c>
      <c r="E34" s="152">
        <v>200</v>
      </c>
      <c r="F34" s="64">
        <f>D34*E34</f>
        <v>11200</v>
      </c>
      <c r="G34" s="63">
        <f>IFERROR(F34/('Mina produktionsnyckeltal'!$D$8*'Mina produktionsnyckeltal'!$D$12),0)</f>
        <v>2.0136986301369859</v>
      </c>
      <c r="H34" s="20"/>
      <c r="I34" s="20"/>
      <c r="J34" s="252" t="s">
        <v>160</v>
      </c>
      <c r="K34" s="242"/>
    </row>
    <row r="35" spans="2:11" s="23" customFormat="1" ht="20.100000000000001" customHeight="1" thickTop="1" thickBot="1" x14ac:dyDescent="0.25">
      <c r="B35" s="60" t="s">
        <v>54</v>
      </c>
      <c r="C35" s="60" t="s">
        <v>16</v>
      </c>
      <c r="D35" s="129"/>
      <c r="E35" s="130"/>
      <c r="F35" s="154">
        <v>10000</v>
      </c>
      <c r="G35" s="63">
        <f>IFERROR(F35/('Mina produktionsnyckeltal'!$D$8*'Mina produktionsnyckeltal'!$D$12),0)</f>
        <v>1.7979452054794518</v>
      </c>
      <c r="H35" s="20"/>
      <c r="I35" s="20"/>
      <c r="J35" s="242"/>
      <c r="K35" s="242"/>
    </row>
    <row r="36" spans="2:11" s="23" customFormat="1" ht="20.100000000000001" customHeight="1" thickTop="1" thickBot="1" x14ac:dyDescent="0.25">
      <c r="B36" s="60" t="s">
        <v>122</v>
      </c>
      <c r="C36" s="60" t="s">
        <v>16</v>
      </c>
      <c r="D36" s="129"/>
      <c r="E36" s="130"/>
      <c r="F36" s="154">
        <v>2000</v>
      </c>
      <c r="G36" s="63">
        <f>IFERROR(F36/('Mina produktionsnyckeltal'!$D$8*'Mina produktionsnyckeltal'!$D$12),0)</f>
        <v>0.3595890410958904</v>
      </c>
      <c r="H36" s="20"/>
      <c r="I36" s="20"/>
      <c r="J36" s="242"/>
      <c r="K36" s="242"/>
    </row>
    <row r="37" spans="2:11" s="23" customFormat="1" ht="20.100000000000001" customHeight="1" thickTop="1" thickBot="1" x14ac:dyDescent="0.25">
      <c r="B37" s="60" t="s">
        <v>55</v>
      </c>
      <c r="C37" s="60" t="s">
        <v>16</v>
      </c>
      <c r="D37" s="129"/>
      <c r="E37" s="130"/>
      <c r="F37" s="154">
        <v>2000</v>
      </c>
      <c r="G37" s="63">
        <f>IFERROR(F37/('Mina produktionsnyckeltal'!$D$8*'Mina produktionsnyckeltal'!$D$12),0)</f>
        <v>0.3595890410958904</v>
      </c>
      <c r="H37" s="20"/>
      <c r="I37" s="20"/>
      <c r="J37" s="246" t="s">
        <v>185</v>
      </c>
      <c r="K37" s="242"/>
    </row>
    <row r="38" spans="2:11" s="23" customFormat="1" ht="20.100000000000001" customHeight="1" thickTop="1" thickBot="1" x14ac:dyDescent="0.25">
      <c r="B38" s="60" t="s">
        <v>56</v>
      </c>
      <c r="C38" s="60" t="s">
        <v>16</v>
      </c>
      <c r="D38" s="129"/>
      <c r="E38" s="130"/>
      <c r="F38" s="154">
        <v>1000</v>
      </c>
      <c r="G38" s="63">
        <f>IFERROR(F38/('Mina produktionsnyckeltal'!$D$8*'Mina produktionsnyckeltal'!$D$12),0)</f>
        <v>0.1797945205479452</v>
      </c>
      <c r="H38" s="20"/>
      <c r="I38" s="20"/>
      <c r="J38" s="242" t="s">
        <v>143</v>
      </c>
      <c r="K38" s="242"/>
    </row>
    <row r="39" spans="2:11" s="23" customFormat="1" ht="20.100000000000001" customHeight="1" thickTop="1" thickBot="1" x14ac:dyDescent="0.25">
      <c r="B39" s="60" t="s">
        <v>57</v>
      </c>
      <c r="C39" s="60" t="s">
        <v>16</v>
      </c>
      <c r="D39" s="129"/>
      <c r="E39" s="130"/>
      <c r="F39" s="154">
        <v>1000</v>
      </c>
      <c r="G39" s="63">
        <f>IFERROR(F39/('Mina produktionsnyckeltal'!$D$8*'Mina produktionsnyckeltal'!$D$12),0)</f>
        <v>0.1797945205479452</v>
      </c>
      <c r="H39" s="20"/>
      <c r="I39" s="20"/>
      <c r="J39" s="242" t="s">
        <v>161</v>
      </c>
      <c r="K39" s="242"/>
    </row>
    <row r="40" spans="2:11" s="23" customFormat="1" ht="20.100000000000001" customHeight="1" thickTop="1" thickBot="1" x14ac:dyDescent="0.25">
      <c r="B40" s="60" t="s">
        <v>58</v>
      </c>
      <c r="C40" s="60" t="s">
        <v>16</v>
      </c>
      <c r="D40" s="129"/>
      <c r="E40" s="130"/>
      <c r="F40" s="154">
        <v>2000</v>
      </c>
      <c r="G40" s="63">
        <f>IFERROR(F40/('Mina produktionsnyckeltal'!$D$8*'Mina produktionsnyckeltal'!$D$12),0)</f>
        <v>0.3595890410958904</v>
      </c>
      <c r="H40" s="20"/>
      <c r="I40" s="20"/>
      <c r="J40" s="242"/>
      <c r="K40" s="242"/>
    </row>
    <row r="41" spans="2:11" s="23" customFormat="1" ht="20.100000000000001" customHeight="1" thickTop="1" thickBot="1" x14ac:dyDescent="0.25">
      <c r="B41" s="60" t="s">
        <v>31</v>
      </c>
      <c r="C41" s="60" t="s">
        <v>16</v>
      </c>
      <c r="D41" s="129"/>
      <c r="E41" s="130"/>
      <c r="F41" s="154">
        <v>2000</v>
      </c>
      <c r="G41" s="63">
        <f>IFERROR(F41/('Mina produktionsnyckeltal'!$D$8*'Mina produktionsnyckeltal'!$D$12),0)</f>
        <v>0.3595890410958904</v>
      </c>
      <c r="H41" s="20"/>
      <c r="I41" s="20"/>
      <c r="J41" s="159"/>
      <c r="K41" s="159"/>
    </row>
    <row r="42" spans="2:11" s="23" customFormat="1" ht="20.100000000000001" customHeight="1" thickTop="1" thickBot="1" x14ac:dyDescent="0.25">
      <c r="B42" s="66" t="s">
        <v>126</v>
      </c>
      <c r="C42" s="66"/>
      <c r="D42" s="67"/>
      <c r="E42" s="68"/>
      <c r="F42" s="90">
        <f>SUM(F32:F41)</f>
        <v>43700</v>
      </c>
      <c r="G42" s="105">
        <f>SUM(G32:G41)</f>
        <v>7.857020547945206</v>
      </c>
      <c r="H42" s="20"/>
      <c r="I42" s="20"/>
      <c r="J42" s="249"/>
      <c r="K42" s="249"/>
    </row>
    <row r="43" spans="2:11" ht="20.100000000000001" customHeight="1" thickTop="1" x14ac:dyDescent="0.2">
      <c r="D43" s="65"/>
      <c r="F43" s="10"/>
      <c r="G43" s="17"/>
      <c r="J43" s="260"/>
      <c r="K43" s="260"/>
    </row>
    <row r="44" spans="2:11" s="23" customFormat="1" ht="20.25" customHeight="1" x14ac:dyDescent="0.2">
      <c r="C44" s="69" t="s">
        <v>65</v>
      </c>
      <c r="D44" s="70">
        <f>'Mina produktionsnyckeltal'!D10/7</f>
        <v>15</v>
      </c>
      <c r="E44" s="20"/>
      <c r="F44" s="71" t="s">
        <v>150</v>
      </c>
      <c r="G44" s="153">
        <v>275</v>
      </c>
      <c r="H44" s="20"/>
      <c r="I44" s="20"/>
    </row>
    <row r="45" spans="2:11" ht="42" customHeight="1" thickBot="1" x14ac:dyDescent="0.4">
      <c r="B45" s="24" t="s">
        <v>148</v>
      </c>
      <c r="C45" s="265" t="s">
        <v>199</v>
      </c>
      <c r="D45" s="265"/>
      <c r="E45" s="214" t="s">
        <v>193</v>
      </c>
      <c r="F45" s="215" t="s">
        <v>201</v>
      </c>
      <c r="G45" s="216" t="s">
        <v>194</v>
      </c>
      <c r="J45" s="243"/>
      <c r="K45" s="244"/>
    </row>
    <row r="46" spans="2:11" s="23" customFormat="1" ht="20.100000000000001" customHeight="1" thickTop="1" thickBot="1" x14ac:dyDescent="0.25">
      <c r="B46" s="60" t="s">
        <v>59</v>
      </c>
      <c r="C46" s="261" t="s">
        <v>166</v>
      </c>
      <c r="D46" s="262"/>
      <c r="E46" s="183">
        <v>14</v>
      </c>
      <c r="F46" s="127">
        <f>G46*$G$44</f>
        <v>36.320754716981135</v>
      </c>
      <c r="G46" s="280">
        <f>IFERROR(IF(C46="Tid per dag",E46*365,IF(C46="Tid per vecka",E46*52,E46*12))/'Mina produktionsnyckeltal'!D$17,0)</f>
        <v>0.13207547169811321</v>
      </c>
      <c r="H46" s="20"/>
      <c r="I46" s="20"/>
      <c r="J46" s="253" t="s">
        <v>152</v>
      </c>
      <c r="K46" s="254"/>
    </row>
    <row r="47" spans="2:11" s="23" customFormat="1" ht="20.100000000000001" customHeight="1" thickTop="1" thickBot="1" x14ac:dyDescent="0.25">
      <c r="B47" s="60" t="s">
        <v>123</v>
      </c>
      <c r="C47" s="261" t="s">
        <v>166</v>
      </c>
      <c r="D47" s="262"/>
      <c r="E47" s="183">
        <v>14</v>
      </c>
      <c r="F47" s="127">
        <f t="shared" ref="F47:F48" si="1">G47*$G$44</f>
        <v>36.320754716981135</v>
      </c>
      <c r="G47" s="280">
        <f>IFERROR(IF(C47="Tid per dag",E47*365,IF(C47="Tid per vecka",E47*52,E47*12))/'Mina produktionsnyckeltal'!D$17,0)</f>
        <v>0.13207547169811321</v>
      </c>
      <c r="H47" s="20"/>
      <c r="I47" s="20"/>
      <c r="J47" s="238"/>
      <c r="K47" s="255"/>
    </row>
    <row r="48" spans="2:11" s="23" customFormat="1" ht="20.100000000000001" customHeight="1" thickTop="1" thickBot="1" x14ac:dyDescent="0.25">
      <c r="B48" s="60" t="s">
        <v>22</v>
      </c>
      <c r="C48" s="261" t="s">
        <v>200</v>
      </c>
      <c r="D48" s="262"/>
      <c r="E48" s="183">
        <v>14</v>
      </c>
      <c r="F48" s="127">
        <f t="shared" si="1"/>
        <v>8.3817126269956468</v>
      </c>
      <c r="G48" s="280">
        <f>IFERROR(IF(C48="Tid per dag",E48*365,IF(C48="Tid per vecka",E48*52,E48*12))/'Mina produktionsnyckeltal'!D$17,0)</f>
        <v>3.0478955007256895E-2</v>
      </c>
      <c r="H48" s="20"/>
      <c r="I48" s="20"/>
      <c r="J48" s="238"/>
      <c r="K48" s="255"/>
    </row>
    <row r="49" spans="2:11" s="61" customFormat="1" ht="20.100000000000001" customHeight="1" thickTop="1" thickBot="1" x14ac:dyDescent="0.25">
      <c r="B49" s="66" t="s">
        <v>60</v>
      </c>
      <c r="C49" s="66"/>
      <c r="D49" s="67"/>
      <c r="E49" s="68"/>
      <c r="F49" s="217">
        <f>SUM(F46:F48)</f>
        <v>81.02322206095792</v>
      </c>
      <c r="G49" s="281">
        <f>SUM(G46:G48)</f>
        <v>0.2946298984034833</v>
      </c>
      <c r="J49" s="238"/>
      <c r="K49" s="255"/>
    </row>
    <row r="50" spans="2:11" ht="20.100000000000001" customHeight="1" thickTop="1" x14ac:dyDescent="0.2">
      <c r="B50"/>
      <c r="C50"/>
      <c r="D50"/>
      <c r="E50"/>
      <c r="F50"/>
      <c r="G50"/>
      <c r="J50" s="238"/>
      <c r="K50" s="255"/>
    </row>
    <row r="51" spans="2:11" s="23" customFormat="1" ht="20.25" customHeight="1" x14ac:dyDescent="0.2">
      <c r="B51" s="7"/>
      <c r="C51" s="7"/>
      <c r="D51" s="70"/>
      <c r="E51" s="20"/>
      <c r="F51" s="71" t="s">
        <v>149</v>
      </c>
      <c r="G51" s="153">
        <v>300</v>
      </c>
      <c r="H51" s="20"/>
      <c r="I51" s="20"/>
      <c r="J51" s="238"/>
      <c r="K51" s="255"/>
    </row>
    <row r="52" spans="2:11" ht="42" customHeight="1" thickBot="1" x14ac:dyDescent="0.4">
      <c r="B52" s="24" t="s">
        <v>27</v>
      </c>
      <c r="C52" s="265" t="s">
        <v>199</v>
      </c>
      <c r="D52" s="265"/>
      <c r="E52" s="214" t="s">
        <v>193</v>
      </c>
      <c r="F52" s="215" t="s">
        <v>44</v>
      </c>
      <c r="G52" s="216" t="s">
        <v>194</v>
      </c>
      <c r="J52" s="256"/>
      <c r="K52" s="256"/>
    </row>
    <row r="53" spans="2:11" s="23" customFormat="1" ht="20.100000000000001" customHeight="1" thickTop="1" thickBot="1" x14ac:dyDescent="0.25">
      <c r="B53" s="60" t="s">
        <v>21</v>
      </c>
      <c r="C53" s="261" t="s">
        <v>166</v>
      </c>
      <c r="D53" s="262"/>
      <c r="E53" s="183">
        <v>14</v>
      </c>
      <c r="F53" s="127">
        <f>G53*$G$51</f>
        <v>39.622641509433961</v>
      </c>
      <c r="G53" s="280">
        <f>IFERROR(IF(C53="Tid per dag",E53*365,IF(C53="Tid per vecka",E53*52,E53*12))/'Mina produktionsnyckeltal'!D$17,0)</f>
        <v>0.13207547169811321</v>
      </c>
      <c r="H53" s="20"/>
      <c r="I53" s="20"/>
      <c r="J53" s="257"/>
      <c r="K53" s="242"/>
    </row>
    <row r="54" spans="2:11" s="61" customFormat="1" ht="20.100000000000001" customHeight="1" thickTop="1" thickBot="1" x14ac:dyDescent="0.25">
      <c r="B54" s="60" t="s">
        <v>123</v>
      </c>
      <c r="C54" s="261" t="s">
        <v>166</v>
      </c>
      <c r="D54" s="262"/>
      <c r="E54" s="183">
        <v>14</v>
      </c>
      <c r="F54" s="127">
        <f t="shared" ref="F54:F55" si="2">G54*$G$51</f>
        <v>39.622641509433961</v>
      </c>
      <c r="G54" s="280">
        <f>IFERROR(IF(C54="Tid per dag",E54*365,IF(C54="Tid per vecka",E54*52,E54*12))/'Mina produktionsnyckeltal'!D$17,0)</f>
        <v>0.13207547169811321</v>
      </c>
      <c r="J54" s="258"/>
      <c r="K54" s="242"/>
    </row>
    <row r="55" spans="2:11" s="4" customFormat="1" ht="20.100000000000001" customHeight="1" thickTop="1" thickBot="1" x14ac:dyDescent="0.3">
      <c r="B55" s="60" t="s">
        <v>22</v>
      </c>
      <c r="C55" s="261" t="s">
        <v>200</v>
      </c>
      <c r="D55" s="282"/>
      <c r="E55" s="183">
        <v>14</v>
      </c>
      <c r="F55" s="127">
        <f t="shared" si="2"/>
        <v>9.1436865021770686</v>
      </c>
      <c r="G55" s="280">
        <f>IFERROR(IF(C55="Tid per dag",E55*365,IF(C55="Tid per vecka",E55*52,E55*12))/'Mina produktionsnyckeltal'!D$17,0)</f>
        <v>3.0478955007256895E-2</v>
      </c>
      <c r="J55" s="89"/>
      <c r="K55" s="161"/>
    </row>
    <row r="56" spans="2:11" ht="20.100000000000001" customHeight="1" thickTop="1" thickBot="1" x14ac:dyDescent="0.25">
      <c r="B56" s="66" t="s">
        <v>61</v>
      </c>
      <c r="C56" s="66"/>
      <c r="D56" s="67"/>
      <c r="E56" s="67"/>
      <c r="F56" s="217">
        <f>SUM(F53:F55)</f>
        <v>88.388969521044999</v>
      </c>
      <c r="G56" s="281">
        <f>SUM(G53:G55)</f>
        <v>0.2946298984034833</v>
      </c>
      <c r="J56" s="174"/>
      <c r="K56" s="174"/>
    </row>
    <row r="57" spans="2:11" ht="30" customHeight="1" thickTop="1" thickBot="1" x14ac:dyDescent="0.3">
      <c r="B57" s="4"/>
      <c r="C57" s="4"/>
      <c r="D57" s="6"/>
      <c r="E57" s="4"/>
      <c r="F57" s="5"/>
      <c r="G57" s="57"/>
      <c r="J57" s="259"/>
      <c r="K57" s="260"/>
    </row>
    <row r="58" spans="2:11" ht="14.25" thickTop="1" thickBot="1" x14ac:dyDescent="0.25">
      <c r="C58" s="283"/>
      <c r="D58" s="284"/>
      <c r="E58" s="285"/>
      <c r="F58" s="286"/>
      <c r="G58" s="287"/>
    </row>
    <row r="59" spans="2:11" ht="13.5" thickTop="1" x14ac:dyDescent="0.2"/>
  </sheetData>
  <sheetProtection algorithmName="SHA-512" hashValue="Lsfna9ikCADYdKvFmTdRahXwB/JwgMlnj8JPpOUH+n5JQ5n2vFWgQVyYx1VuapEgKolScjpKriP/FcY0LJOkOA==" saltValue="aa0fgexq1wYjjjKhl044NQ==" spinCount="100000" sheet="1" selectLockedCells="1"/>
  <mergeCells count="45">
    <mergeCell ref="C58:D58"/>
    <mergeCell ref="C54:D54"/>
    <mergeCell ref="C55:D55"/>
    <mergeCell ref="D33:E33"/>
    <mergeCell ref="C46:D46"/>
    <mergeCell ref="C47:D47"/>
    <mergeCell ref="C48:D48"/>
    <mergeCell ref="C53:D53"/>
    <mergeCell ref="C45:D45"/>
    <mergeCell ref="C52:D52"/>
    <mergeCell ref="J46:K51"/>
    <mergeCell ref="J52:K52"/>
    <mergeCell ref="J53:K54"/>
    <mergeCell ref="J57:K57"/>
    <mergeCell ref="J42:K42"/>
    <mergeCell ref="J43:K43"/>
    <mergeCell ref="J45:K45"/>
    <mergeCell ref="J37:K37"/>
    <mergeCell ref="J38:K38"/>
    <mergeCell ref="J39:K39"/>
    <mergeCell ref="J40:K40"/>
    <mergeCell ref="J32:K32"/>
    <mergeCell ref="J34:K34"/>
    <mergeCell ref="J35:K35"/>
    <mergeCell ref="J36:K36"/>
    <mergeCell ref="J27:K27"/>
    <mergeCell ref="J28:K28"/>
    <mergeCell ref="J29:K29"/>
    <mergeCell ref="J31:K31"/>
    <mergeCell ref="J25:K25"/>
    <mergeCell ref="J26:K26"/>
    <mergeCell ref="J11:K11"/>
    <mergeCell ref="J15:K15"/>
    <mergeCell ref="J16:K16"/>
    <mergeCell ref="J17:K17"/>
    <mergeCell ref="J12:K12"/>
    <mergeCell ref="J14:K14"/>
    <mergeCell ref="J9:K10"/>
    <mergeCell ref="C1:D1"/>
    <mergeCell ref="B3:G3"/>
    <mergeCell ref="C4:G4"/>
    <mergeCell ref="J7:K7"/>
    <mergeCell ref="J8:K8"/>
    <mergeCell ref="J6:K6"/>
    <mergeCell ref="J3:K3"/>
  </mergeCells>
  <phoneticPr fontId="2" type="noConversion"/>
  <dataValidations count="1">
    <dataValidation type="list" allowBlank="1" showInputMessage="1" showErrorMessage="1" sqref="C46:C48 C53:C55 C58" xr:uid="{00000000-0002-0000-0200-000000000000}">
      <formula1>"Tid per dag,Tid per vecka, Tid per omgång"</formula1>
    </dataValidation>
  </dataValidations>
  <pageMargins left="0.23622047244094491" right="0.23622047244094491" top="0.74803149606299213" bottom="0.74803149606299213" header="0.31496062992125984" footer="0.31496062992125984"/>
  <pageSetup paperSize="9" scale="69" fitToHeight="3" orientation="landscape" r:id="rId1"/>
  <headerFooter alignWithMargins="0"/>
  <rowBreaks count="1" manualBreakCount="1">
    <brk id="29" min="1" max="10" man="1"/>
  </rowBreaks>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indexed="57"/>
  </sheetPr>
  <dimension ref="B1:T52"/>
  <sheetViews>
    <sheetView showGridLines="0" zoomScale="80" zoomScaleNormal="80" workbookViewId="0">
      <pane ySplit="3" topLeftCell="A25" activePane="bottomLeft" state="frozen"/>
      <selection pane="bottomLeft" activeCell="E44" sqref="E44"/>
    </sheetView>
  </sheetViews>
  <sheetFormatPr defaultColWidth="9.140625" defaultRowHeight="15" x14ac:dyDescent="0.2"/>
  <cols>
    <col min="1" max="1" width="5.85546875" style="20" customWidth="1"/>
    <col min="2" max="2" width="35.85546875" style="20" customWidth="1"/>
    <col min="3" max="3" width="7.42578125" style="20" customWidth="1"/>
    <col min="4" max="4" width="8.140625" style="20" customWidth="1"/>
    <col min="5" max="5" width="11.5703125" style="20" customWidth="1"/>
    <col min="6" max="6" width="13.28515625" style="20" customWidth="1"/>
    <col min="7" max="7" width="13.7109375" style="20" customWidth="1"/>
    <col min="8" max="9" width="13.7109375" style="25" customWidth="1"/>
    <col min="10" max="10" width="16.7109375" style="25" customWidth="1"/>
    <col min="11" max="11" width="7.42578125" style="20" customWidth="1"/>
    <col min="12" max="16384" width="9.140625" style="20"/>
  </cols>
  <sheetData>
    <row r="1" spans="2:20" s="45" customFormat="1" ht="30" customHeight="1" x14ac:dyDescent="0.2">
      <c r="C1" s="275"/>
      <c r="D1" s="275"/>
      <c r="E1" s="46"/>
      <c r="F1" s="46"/>
      <c r="G1" s="46"/>
      <c r="H1" s="46"/>
      <c r="I1" s="46"/>
      <c r="J1" s="46"/>
      <c r="K1" s="46"/>
      <c r="L1" s="46"/>
      <c r="M1" s="46"/>
      <c r="N1" s="46"/>
      <c r="O1" s="46"/>
      <c r="P1" s="46"/>
      <c r="Q1" s="46"/>
      <c r="R1" s="46"/>
      <c r="S1" s="46"/>
      <c r="T1" s="46"/>
    </row>
    <row r="2" spans="2:20" s="23" customFormat="1" ht="38.25" customHeight="1" x14ac:dyDescent="0.2">
      <c r="D2" s="73"/>
    </row>
    <row r="3" spans="2:20" s="74" customFormat="1" ht="24.95" customHeight="1" x14ac:dyDescent="0.2">
      <c r="B3" s="232" t="s">
        <v>191</v>
      </c>
      <c r="C3" s="232"/>
      <c r="D3" s="232"/>
      <c r="E3" s="232"/>
      <c r="F3" s="232"/>
      <c r="G3" s="232"/>
      <c r="H3" s="232"/>
      <c r="I3" s="232"/>
      <c r="J3" s="232"/>
    </row>
    <row r="4" spans="2:20" ht="51" customHeight="1" x14ac:dyDescent="0.2">
      <c r="B4" s="75"/>
      <c r="C4" s="75"/>
      <c r="E4" s="75"/>
    </row>
    <row r="5" spans="2:20" ht="30" customHeight="1" thickBot="1" x14ac:dyDescent="0.25">
      <c r="B5" s="193" t="s">
        <v>196</v>
      </c>
      <c r="C5" s="62"/>
      <c r="E5" s="62"/>
      <c r="F5" s="62"/>
      <c r="G5" s="62"/>
    </row>
    <row r="6" spans="2:20" ht="30" customHeight="1" thickTop="1" thickBot="1" x14ac:dyDescent="0.25">
      <c r="B6" s="219" t="s">
        <v>68</v>
      </c>
      <c r="C6" s="278">
        <v>1600</v>
      </c>
      <c r="D6" s="279"/>
      <c r="E6" s="220" t="s">
        <v>197</v>
      </c>
      <c r="F6" s="62"/>
      <c r="G6" s="62"/>
    </row>
    <row r="7" spans="2:20" s="7" customFormat="1" ht="30" customHeight="1" thickTop="1" thickBot="1" x14ac:dyDescent="0.25">
      <c r="B7" s="193" t="s">
        <v>30</v>
      </c>
      <c r="C7" s="267" t="s">
        <v>10</v>
      </c>
      <c r="D7" s="267"/>
      <c r="E7" s="56" t="s">
        <v>15</v>
      </c>
      <c r="F7" s="56" t="s">
        <v>11</v>
      </c>
      <c r="G7" s="56" t="s">
        <v>187</v>
      </c>
      <c r="H7" s="56" t="s">
        <v>189</v>
      </c>
      <c r="I7" s="56" t="s">
        <v>190</v>
      </c>
      <c r="J7" s="212" t="s">
        <v>188</v>
      </c>
    </row>
    <row r="8" spans="2:20" ht="25.5" customHeight="1" thickTop="1" thickBot="1" x14ac:dyDescent="0.25">
      <c r="B8" s="60" t="s">
        <v>198</v>
      </c>
      <c r="C8" s="190" t="s">
        <v>13</v>
      </c>
      <c r="D8" s="88"/>
      <c r="E8" s="187">
        <f>'Mina produktionsnyckeltal'!D22</f>
        <v>92</v>
      </c>
      <c r="F8" s="186">
        <v>19</v>
      </c>
      <c r="G8" s="188">
        <f>E8*F8</f>
        <v>1748</v>
      </c>
      <c r="H8" s="197">
        <f>G8/'Mina produktionsnyckeltal'!D22</f>
        <v>19</v>
      </c>
      <c r="I8" s="198">
        <f>J8/C6</f>
        <v>6076.3809523809523</v>
      </c>
      <c r="J8" s="198">
        <f>G8*'Mina produktionsnyckeltal'!D8*365/'Mina produktionsnyckeltal'!D10</f>
        <v>9722209.5238095243</v>
      </c>
    </row>
    <row r="9" spans="2:20" ht="25.5" customHeight="1" thickTop="1" thickBot="1" x14ac:dyDescent="0.25">
      <c r="B9" s="60" t="s">
        <v>17</v>
      </c>
      <c r="C9" s="190" t="s">
        <v>8</v>
      </c>
      <c r="D9" s="88"/>
      <c r="E9" s="187"/>
      <c r="F9" s="196"/>
      <c r="G9" s="191">
        <v>80</v>
      </c>
      <c r="H9" s="197">
        <f>G9/'Mina produktionsnyckeltal'!D21</f>
        <v>2.6666666666666665</v>
      </c>
      <c r="I9" s="199">
        <f>J9/C6</f>
        <v>278.09523809523807</v>
      </c>
      <c r="J9" s="198">
        <f>G9*'Mina produktionsnyckeltal'!D8*365/'Mina produktionsnyckeltal'!D10</f>
        <v>444952.38095238095</v>
      </c>
    </row>
    <row r="10" spans="2:20" ht="25.5" customHeight="1" thickTop="1" thickBot="1" x14ac:dyDescent="0.25">
      <c r="B10" s="60" t="s">
        <v>0</v>
      </c>
      <c r="C10" s="87" t="s">
        <v>82</v>
      </c>
      <c r="D10" s="88"/>
      <c r="E10" s="192">
        <v>2</v>
      </c>
      <c r="F10" s="186">
        <v>12</v>
      </c>
      <c r="G10" s="188">
        <f t="shared" ref="G10" si="0">E10*F10</f>
        <v>24</v>
      </c>
      <c r="H10" s="197">
        <f>G10/'Mina produktionsnyckeltal'!D22</f>
        <v>0.2608695652173913</v>
      </c>
      <c r="I10" s="198">
        <f>J10/C6</f>
        <v>83.428571428571431</v>
      </c>
      <c r="J10" s="198">
        <f>G10*'Mina produktionsnyckeltal'!D8*365/'Mina produktionsnyckeltal'!D10</f>
        <v>133485.71428571429</v>
      </c>
    </row>
    <row r="11" spans="2:20" ht="25.5" customHeight="1" thickTop="1" thickBot="1" x14ac:dyDescent="0.25">
      <c r="B11" s="60" t="s">
        <v>4</v>
      </c>
      <c r="C11" s="87" t="s">
        <v>8</v>
      </c>
      <c r="D11" s="88"/>
      <c r="E11" s="263"/>
      <c r="F11" s="264"/>
      <c r="G11" s="191">
        <v>150</v>
      </c>
      <c r="H11" s="197">
        <f>G11/'Mina produktionsnyckeltal'!D22</f>
        <v>1.6304347826086956</v>
      </c>
      <c r="I11" s="198">
        <f>J11/C6</f>
        <v>521.42857142857144</v>
      </c>
      <c r="J11" s="198">
        <f>G11*'Mina produktionsnyckeltal'!D8*365/'Mina produktionsnyckeltal'!D10</f>
        <v>834285.71428571432</v>
      </c>
    </row>
    <row r="12" spans="2:20" ht="25.5" customHeight="1" thickTop="1" thickBot="1" x14ac:dyDescent="0.25">
      <c r="B12" s="91" t="s">
        <v>7</v>
      </c>
      <c r="C12" s="92"/>
      <c r="D12" s="92"/>
      <c r="E12" s="93"/>
      <c r="F12" s="94"/>
      <c r="G12" s="90">
        <f>SUM(G8:G11)</f>
        <v>2002</v>
      </c>
      <c r="H12" s="105">
        <f>SUM(H8:H10)</f>
        <v>21.927536231884059</v>
      </c>
      <c r="I12" s="90">
        <f t="shared" ref="I12:J12" si="1">SUM(I8:I10)</f>
        <v>6437.9047619047624</v>
      </c>
      <c r="J12" s="90">
        <f t="shared" si="1"/>
        <v>10300647.619047619</v>
      </c>
    </row>
    <row r="13" spans="2:20" ht="25.5" customHeight="1" thickTop="1" x14ac:dyDescent="0.2">
      <c r="B13" s="25"/>
      <c r="C13" s="21"/>
      <c r="E13" s="21"/>
      <c r="F13" s="25"/>
      <c r="G13" s="76"/>
    </row>
    <row r="14" spans="2:20" ht="30" customHeight="1" thickBot="1" x14ac:dyDescent="0.25">
      <c r="B14" s="203" t="s">
        <v>5</v>
      </c>
      <c r="C14" s="266" t="s">
        <v>10</v>
      </c>
      <c r="D14" s="266"/>
      <c r="E14" s="56" t="s">
        <v>15</v>
      </c>
      <c r="F14" s="56" t="s">
        <v>11</v>
      </c>
      <c r="G14" s="56" t="s">
        <v>187</v>
      </c>
      <c r="H14" s="56" t="s">
        <v>189</v>
      </c>
      <c r="I14" s="56" t="s">
        <v>190</v>
      </c>
      <c r="J14" s="212" t="s">
        <v>188</v>
      </c>
    </row>
    <row r="15" spans="2:20" ht="25.5" customHeight="1" thickTop="1" thickBot="1" x14ac:dyDescent="0.25">
      <c r="B15" s="60" t="s">
        <v>1</v>
      </c>
      <c r="C15" s="271" t="s">
        <v>12</v>
      </c>
      <c r="D15" s="272"/>
      <c r="G15" s="191">
        <v>700</v>
      </c>
      <c r="H15" s="197">
        <f>G15/'Mina produktionsnyckeltal'!D22</f>
        <v>7.6086956521739131</v>
      </c>
      <c r="I15" s="198">
        <f>J15/C6</f>
        <v>2433.3333333333335</v>
      </c>
      <c r="J15" s="198">
        <f>G15*'Mina produktionsnyckeltal'!D8*365/'Mina produktionsnyckeltal'!D10</f>
        <v>3893333.3333333335</v>
      </c>
    </row>
    <row r="16" spans="2:20" ht="25.5" customHeight="1" thickTop="1" thickBot="1" x14ac:dyDescent="0.25">
      <c r="B16" s="60" t="s">
        <v>17</v>
      </c>
      <c r="C16" s="271" t="s">
        <v>12</v>
      </c>
      <c r="D16" s="272"/>
      <c r="G16" s="191">
        <v>130</v>
      </c>
      <c r="H16" s="197">
        <f>G16/'Mina produktionsnyckeltal'!D22</f>
        <v>1.4130434782608696</v>
      </c>
      <c r="I16" s="198">
        <f>J16/C6</f>
        <v>451.90476190476193</v>
      </c>
      <c r="J16" s="198">
        <f>G16*'Mina produktionsnyckeltal'!D8*365/'Mina produktionsnyckeltal'!D10</f>
        <v>723047.61904761905</v>
      </c>
    </row>
    <row r="17" spans="2:13" ht="25.5" customHeight="1" thickTop="1" thickBot="1" x14ac:dyDescent="0.25">
      <c r="B17" s="60" t="s">
        <v>84</v>
      </c>
      <c r="C17" s="271" t="s">
        <v>8</v>
      </c>
      <c r="D17" s="272"/>
      <c r="E17" s="276"/>
      <c r="F17" s="276"/>
      <c r="G17" s="188">
        <f>3.5+1+2+(0.26*'Mina produktionsnyckeltal'!D22)</f>
        <v>30.42</v>
      </c>
      <c r="H17" s="197">
        <f>G17/'Mina produktionsnyckeltal'!D22</f>
        <v>0.33065217391304352</v>
      </c>
      <c r="I17" s="198">
        <f>J17/C6</f>
        <v>105.7457142857143</v>
      </c>
      <c r="J17" s="198">
        <f>G17*'Mina produktionsnyckeltal'!D8*365/'Mina produktionsnyckeltal'!D10</f>
        <v>169193.14285714287</v>
      </c>
    </row>
    <row r="18" spans="2:13" ht="25.5" customHeight="1" thickTop="1" thickBot="1" x14ac:dyDescent="0.25">
      <c r="B18" s="60" t="s">
        <v>20</v>
      </c>
      <c r="C18" s="271" t="s">
        <v>12</v>
      </c>
      <c r="D18" s="272"/>
      <c r="E18" s="211">
        <f>'Mina produktionsnyckeltal'!D18</f>
        <v>1.0057471264367816E-2</v>
      </c>
      <c r="F18" s="127">
        <f>IFERROR(((G15+G16)+30*(SUM(G19:G26))/30),0)</f>
        <v>1613.6675349752259</v>
      </c>
      <c r="G18" s="188">
        <f t="shared" ref="G18:G26" si="2">E18*F18</f>
        <v>16.229414863256583</v>
      </c>
      <c r="H18" s="197">
        <f>G18/'Mina produktionsnyckeltal'!D22</f>
        <v>0.17640668329626721</v>
      </c>
      <c r="I18" s="198">
        <f>J18/C6</f>
        <v>56.416537381796701</v>
      </c>
      <c r="J18" s="198">
        <f>G18*'Mina produktionsnyckeltal'!D8*365/'Mina produktionsnyckeltal'!D10</f>
        <v>90266.459810874716</v>
      </c>
    </row>
    <row r="19" spans="2:13" ht="25.5" customHeight="1" thickTop="1" thickBot="1" x14ac:dyDescent="0.25">
      <c r="B19" s="60" t="s">
        <v>2</v>
      </c>
      <c r="C19" s="271" t="s">
        <v>131</v>
      </c>
      <c r="D19" s="272"/>
      <c r="E19" s="206">
        <f>'Mina produktionsnyckeltal'!D27</f>
        <v>2400</v>
      </c>
      <c r="F19" s="224">
        <f>'Mina produktionsnyckeltal'!D31</f>
        <v>27.23404255319149</v>
      </c>
      <c r="G19" s="188">
        <f>E19*(F19/100)</f>
        <v>653.61702127659578</v>
      </c>
      <c r="H19" s="197">
        <f>G19/'Mina produktionsnyckeltal'!D22</f>
        <v>7.1045328399629977</v>
      </c>
      <c r="I19" s="198">
        <f>J19/C6</f>
        <v>2272.0972644376902</v>
      </c>
      <c r="J19" s="198">
        <f>G19*'Mina produktionsnyckeltal'!D8*365/'Mina produktionsnyckeltal'!D10</f>
        <v>3635355.623100304</v>
      </c>
      <c r="K19" s="23"/>
      <c r="L19" s="23"/>
    </row>
    <row r="20" spans="2:13" ht="25.5" customHeight="1" thickTop="1" thickBot="1" x14ac:dyDescent="0.25">
      <c r="B20" s="60" t="s">
        <v>39</v>
      </c>
      <c r="C20" s="271" t="s">
        <v>8</v>
      </c>
      <c r="D20" s="272"/>
      <c r="E20" s="277"/>
      <c r="F20" s="277"/>
      <c r="G20" s="188">
        <f>'Mitt ekonomiska underlag'!G17</f>
        <v>1.7979452054794518</v>
      </c>
      <c r="H20" s="197">
        <f>G20/'Mina produktionsnyckeltal'!D22</f>
        <v>1.9542882668254911E-2</v>
      </c>
      <c r="I20" s="198">
        <f>J20/C6</f>
        <v>6.2499999999999991</v>
      </c>
      <c r="J20" s="198">
        <f>G20*'Mina produktionsnyckeltal'!D8*365/'Mina produktionsnyckeltal'!D10</f>
        <v>9999.9999999999982</v>
      </c>
    </row>
    <row r="21" spans="2:13" ht="25.5" customHeight="1" thickTop="1" thickBot="1" x14ac:dyDescent="0.25">
      <c r="B21" s="60" t="s">
        <v>41</v>
      </c>
      <c r="C21" s="271" t="s">
        <v>8</v>
      </c>
      <c r="D21" s="272"/>
      <c r="E21" s="277"/>
      <c r="F21" s="277"/>
      <c r="G21" s="188">
        <f>'Mitt ekonomiska underlag'!G12</f>
        <v>16.181506849315067</v>
      </c>
      <c r="H21" s="197">
        <f>G21/'Mina produktionsnyckeltal'!D22</f>
        <v>0.17588594401429419</v>
      </c>
      <c r="I21" s="198">
        <f>J21/C6</f>
        <v>56.25</v>
      </c>
      <c r="J21" s="198">
        <f>G21*'Mina produktionsnyckeltal'!D8*365/'Mina produktionsnyckeltal'!D10</f>
        <v>90000</v>
      </c>
    </row>
    <row r="22" spans="2:13" ht="25.5" customHeight="1" thickTop="1" thickBot="1" x14ac:dyDescent="0.25">
      <c r="B22" s="60" t="s">
        <v>3</v>
      </c>
      <c r="C22" s="271" t="s">
        <v>13</v>
      </c>
      <c r="D22" s="272"/>
      <c r="E22" s="207">
        <f>IFERROR((SUM('Mitt ekonomiska underlag'!D26:D28))/('Mina produktionsnyckeltal'!D8*'Mina produktionsnyckeltal'!D12),0)</f>
        <v>2.6969178082191778</v>
      </c>
      <c r="F22" s="103">
        <f>IFERROR('Mitt ekonomiska underlag'!F29/(SUM('Mitt ekonomiska underlag'!D26:D28)),0)</f>
        <v>1.1333333333333333</v>
      </c>
      <c r="G22" s="188">
        <f t="shared" si="2"/>
        <v>3.0565068493150682</v>
      </c>
      <c r="H22" s="197">
        <f>G22/'Mina produktionsnyckeltal'!D22</f>
        <v>3.3222900536033349E-2</v>
      </c>
      <c r="I22" s="198">
        <f>J22/C6</f>
        <v>10.624999999999998</v>
      </c>
      <c r="J22" s="198">
        <f>G22*'Mina produktionsnyckeltal'!D8*365/'Mina produktionsnyckeltal'!D10</f>
        <v>16999.999999999996</v>
      </c>
    </row>
    <row r="23" spans="2:13" ht="25.5" customHeight="1" thickTop="1" thickBot="1" x14ac:dyDescent="0.25">
      <c r="B23" s="60" t="s">
        <v>142</v>
      </c>
      <c r="C23" s="271" t="s">
        <v>8</v>
      </c>
      <c r="D23" s="272"/>
      <c r="E23" s="277"/>
      <c r="F23" s="277"/>
      <c r="G23" s="188">
        <f>'Mitt ekonomiska underlag'!G23</f>
        <v>2.1575342465753424</v>
      </c>
      <c r="H23" s="197">
        <f>G23/'Mina produktionsnyckeltal'!D22</f>
        <v>2.3451459201905896E-2</v>
      </c>
      <c r="I23" s="198">
        <f>J23/C6</f>
        <v>7.5</v>
      </c>
      <c r="J23" s="198">
        <f>G23*'Mina produktionsnyckeltal'!D8*365/'Mina produktionsnyckeltal'!D10</f>
        <v>12000</v>
      </c>
    </row>
    <row r="24" spans="2:13" ht="25.5" customHeight="1" thickTop="1" thickBot="1" x14ac:dyDescent="0.25">
      <c r="B24" s="60" t="s">
        <v>40</v>
      </c>
      <c r="C24" s="271" t="s">
        <v>8</v>
      </c>
      <c r="D24" s="272"/>
      <c r="E24" s="277"/>
      <c r="F24" s="277"/>
      <c r="G24" s="188">
        <f>'Mitt ekonomiska underlag'!G42</f>
        <v>7.857020547945206</v>
      </c>
      <c r="H24" s="197">
        <f>G24/'Mina produktionsnyckeltal'!D22</f>
        <v>8.5402397260273974E-2</v>
      </c>
      <c r="I24" s="198">
        <f>J24/C6</f>
        <v>27.3125</v>
      </c>
      <c r="J24" s="198">
        <f>G24*'Mina produktionsnyckeltal'!D8*365/'Mina produktionsnyckeltal'!D10</f>
        <v>43700</v>
      </c>
    </row>
    <row r="25" spans="2:13" ht="25.5" customHeight="1" thickTop="1" thickBot="1" x14ac:dyDescent="0.25">
      <c r="B25" s="155" t="s">
        <v>85</v>
      </c>
      <c r="C25" s="273"/>
      <c r="D25" s="274"/>
      <c r="E25" s="208">
        <v>1</v>
      </c>
      <c r="F25" s="152">
        <v>9</v>
      </c>
      <c r="G25" s="188">
        <f t="shared" si="2"/>
        <v>9</v>
      </c>
      <c r="H25" s="197">
        <f>G25/'Mina produktionsnyckeltal'!D22</f>
        <v>9.7826086956521743E-2</v>
      </c>
      <c r="I25" s="198">
        <f>J25/C6</f>
        <v>31.285714285714285</v>
      </c>
      <c r="J25" s="198">
        <f>G25*'Mina produktionsnyckeltal'!D8*365/'Mina produktionsnyckeltal'!D10</f>
        <v>50057.142857142855</v>
      </c>
    </row>
    <row r="26" spans="2:13" ht="25.5" customHeight="1" thickTop="1" thickBot="1" x14ac:dyDescent="0.25">
      <c r="B26" s="155" t="s">
        <v>85</v>
      </c>
      <c r="C26" s="273"/>
      <c r="D26" s="274"/>
      <c r="E26" s="208">
        <v>1</v>
      </c>
      <c r="F26" s="152">
        <v>90</v>
      </c>
      <c r="G26" s="188">
        <f t="shared" si="2"/>
        <v>90</v>
      </c>
      <c r="H26" s="197">
        <f>G26/'Mina produktionsnyckeltal'!D22</f>
        <v>0.97826086956521741</v>
      </c>
      <c r="I26" s="198">
        <f>J26/C6</f>
        <v>312.85714285714289</v>
      </c>
      <c r="J26" s="198">
        <f>G26*'Mina produktionsnyckeltal'!D8*365/'Mina produktionsnyckeltal'!D10</f>
        <v>500571.42857142858</v>
      </c>
    </row>
    <row r="27" spans="2:13" ht="25.5" customHeight="1" thickTop="1" thickBot="1" x14ac:dyDescent="0.25">
      <c r="B27" s="95" t="s">
        <v>24</v>
      </c>
      <c r="C27" s="96"/>
      <c r="D27" s="96"/>
      <c r="E27" s="93"/>
      <c r="F27" s="94"/>
      <c r="G27" s="90">
        <f>SUM(G15:G26)</f>
        <v>1660.3169498384827</v>
      </c>
      <c r="H27" s="105">
        <f>SUM(H15:H26)</f>
        <v>18.04692336780959</v>
      </c>
      <c r="I27" s="90">
        <f t="shared" ref="I27:J27" si="3">SUM(I15:I26)</f>
        <v>5771.5779684861545</v>
      </c>
      <c r="J27" s="90">
        <f t="shared" si="3"/>
        <v>9234524.7495778464</v>
      </c>
    </row>
    <row r="28" spans="2:13" ht="25.5" customHeight="1" thickTop="1" x14ac:dyDescent="0.2">
      <c r="B28" s="78"/>
      <c r="C28" s="79"/>
      <c r="E28" s="79"/>
      <c r="F28" s="80"/>
      <c r="G28" s="76"/>
    </row>
    <row r="29" spans="2:13" ht="30" customHeight="1" thickBot="1" x14ac:dyDescent="0.25">
      <c r="B29" s="34" t="s">
        <v>80</v>
      </c>
      <c r="C29" s="266" t="s">
        <v>10</v>
      </c>
      <c r="D29" s="266"/>
      <c r="E29" s="7" t="s">
        <v>15</v>
      </c>
      <c r="F29" s="56" t="s">
        <v>11</v>
      </c>
      <c r="G29" s="56" t="s">
        <v>187</v>
      </c>
      <c r="H29" s="56" t="s">
        <v>189</v>
      </c>
      <c r="I29" s="56" t="s">
        <v>190</v>
      </c>
      <c r="J29" s="212" t="s">
        <v>188</v>
      </c>
      <c r="K29" s="23"/>
      <c r="L29" s="81"/>
      <c r="M29" s="82"/>
    </row>
    <row r="30" spans="2:13" ht="25.5" customHeight="1" thickTop="1" thickBot="1" x14ac:dyDescent="0.25">
      <c r="B30" s="60" t="s">
        <v>25</v>
      </c>
      <c r="C30" s="271" t="s">
        <v>8</v>
      </c>
      <c r="D30" s="272"/>
      <c r="E30" s="218">
        <v>0.05</v>
      </c>
      <c r="F30" s="127">
        <f>IFERROR(G15/'Mina produktionsnyckeltal'!D12,0)</f>
        <v>201.36986301369862</v>
      </c>
      <c r="G30" s="188">
        <f>F30*E30</f>
        <v>10.068493150684931</v>
      </c>
      <c r="H30" s="197">
        <f>G30/'Mina produktionsnyckeltal'!D22</f>
        <v>0.10944014294222751</v>
      </c>
      <c r="I30" s="198">
        <f>J30/C6</f>
        <v>35</v>
      </c>
      <c r="J30" s="198">
        <f>G30*'Mina produktionsnyckeltal'!D8*365/'Mina produktionsnyckeltal'!D10</f>
        <v>56000</v>
      </c>
      <c r="K30" s="184"/>
      <c r="L30" s="23"/>
      <c r="M30" s="82"/>
    </row>
    <row r="31" spans="2:13" ht="25.5" customHeight="1" thickTop="1" thickBot="1" x14ac:dyDescent="0.25">
      <c r="B31" s="60" t="s">
        <v>28</v>
      </c>
      <c r="C31" s="271" t="s">
        <v>8</v>
      </c>
      <c r="D31" s="272"/>
      <c r="E31" s="218">
        <v>0.05</v>
      </c>
      <c r="F31" s="127">
        <f>IFERROR((G19+G22+G20+G24+G32+G23+G17+G21)/'Mina produktionsnyckeltal'!D12,0)</f>
        <v>207.77898125671257</v>
      </c>
      <c r="G31" s="188">
        <f>F31*E31</f>
        <v>10.388949062835628</v>
      </c>
      <c r="H31" s="197">
        <f>G31/'Mina produktionsnyckeltal'!D22</f>
        <v>0.11292335937864814</v>
      </c>
      <c r="I31" s="198">
        <f>J30/C6</f>
        <v>35</v>
      </c>
      <c r="J31" s="198">
        <f>G31*'Mina produktionsnyckeltal'!D8*365/'Mina produktionsnyckeltal'!D10</f>
        <v>57782.345263771502</v>
      </c>
      <c r="K31" s="184"/>
      <c r="L31" s="83"/>
      <c r="M31" s="84"/>
    </row>
    <row r="32" spans="2:13" ht="25.5" customHeight="1" thickTop="1" thickBot="1" x14ac:dyDescent="0.25">
      <c r="B32" s="97" t="s">
        <v>6</v>
      </c>
      <c r="C32" s="271" t="s">
        <v>8</v>
      </c>
      <c r="D32" s="272"/>
      <c r="E32" s="218">
        <v>0.01</v>
      </c>
      <c r="F32" s="128">
        <f>F36</f>
        <v>4000000</v>
      </c>
      <c r="G32" s="189">
        <f>IFERROR((F32*E32)/('Mina produktionsnyckeltal'!D8*'Mina produktionsnyckeltal'!D12),0)</f>
        <v>7.1917808219178072</v>
      </c>
      <c r="H32" s="197">
        <f>G32/'Mina produktionsnyckeltal'!D22</f>
        <v>7.8171530673019643E-2</v>
      </c>
      <c r="I32" s="198">
        <f>J30/C6</f>
        <v>35</v>
      </c>
      <c r="J32" s="198">
        <f>G32*'Mina produktionsnyckeltal'!D8*365/'Mina produktionsnyckeltal'!D10</f>
        <v>39999.999999999993</v>
      </c>
      <c r="K32" s="184"/>
      <c r="L32" s="23"/>
      <c r="M32" s="23"/>
    </row>
    <row r="33" spans="2:13" ht="25.5" customHeight="1" thickTop="1" thickBot="1" x14ac:dyDescent="0.25">
      <c r="B33" s="91" t="s">
        <v>81</v>
      </c>
      <c r="C33" s="96"/>
      <c r="D33" s="96"/>
      <c r="E33" s="93"/>
      <c r="F33" s="94"/>
      <c r="G33" s="90">
        <f>SUM(G30:G32)</f>
        <v>27.649223035438364</v>
      </c>
      <c r="H33" s="204">
        <f t="shared" ref="H33:J33" si="4">SUM(H30:H32)</f>
        <v>0.30053503299389528</v>
      </c>
      <c r="I33" s="205">
        <f t="shared" si="4"/>
        <v>105</v>
      </c>
      <c r="J33" s="205">
        <f t="shared" si="4"/>
        <v>153782.34526377151</v>
      </c>
      <c r="K33" s="184"/>
      <c r="L33" s="23"/>
      <c r="M33" s="23"/>
    </row>
    <row r="34" spans="2:13" ht="25.5" customHeight="1" thickTop="1" x14ac:dyDescent="0.2">
      <c r="B34" s="85"/>
      <c r="C34" s="85"/>
      <c r="E34" s="85"/>
      <c r="F34" s="77"/>
      <c r="G34" s="33"/>
      <c r="K34" s="184"/>
      <c r="L34" s="86"/>
      <c r="M34" s="23"/>
    </row>
    <row r="35" spans="2:13" ht="41.25" customHeight="1" thickBot="1" x14ac:dyDescent="0.25">
      <c r="B35" s="203" t="s">
        <v>109</v>
      </c>
      <c r="C35" s="72" t="s">
        <v>10</v>
      </c>
      <c r="D35" s="212" t="s">
        <v>104</v>
      </c>
      <c r="E35" s="56" t="s">
        <v>105</v>
      </c>
      <c r="F35" s="213" t="s">
        <v>195</v>
      </c>
      <c r="G35" s="56" t="s">
        <v>187</v>
      </c>
      <c r="H35" s="56" t="s">
        <v>189</v>
      </c>
      <c r="I35" s="56" t="s">
        <v>190</v>
      </c>
      <c r="J35" s="212" t="s">
        <v>188</v>
      </c>
      <c r="K35" s="184"/>
      <c r="L35" s="86"/>
      <c r="M35" s="23"/>
    </row>
    <row r="36" spans="2:13" ht="25.5" customHeight="1" thickTop="1" thickBot="1" x14ac:dyDescent="0.25">
      <c r="B36" s="60" t="s">
        <v>107</v>
      </c>
      <c r="C36" s="60" t="s">
        <v>8</v>
      </c>
      <c r="D36" s="149">
        <v>15</v>
      </c>
      <c r="E36" s="156">
        <v>0.04</v>
      </c>
      <c r="F36" s="152">
        <v>4000000</v>
      </c>
      <c r="G36" s="188">
        <f>IFERROR(((K36/'Mina produktionsnyckeltal'!$D$12)/D36)+(((K36/'Mina produktionsnyckeltal'!$D$12)*0.5)*E36),0)</f>
        <v>62.328767123287676</v>
      </c>
      <c r="H36" s="197">
        <f>G36/'Mina produktionsnyckeltal'!D22</f>
        <v>0.67748659916617038</v>
      </c>
      <c r="I36" s="198">
        <f>J36/C6</f>
        <v>216.66666666666671</v>
      </c>
      <c r="J36" s="198">
        <f>G36*'Mina produktionsnyckeltal'!D8*365/'Mina produktionsnyckeltal'!D10</f>
        <v>346666.66666666674</v>
      </c>
      <c r="K36" s="200">
        <f>F36/'Mina produktionsnyckeltal'!D8</f>
        <v>2500</v>
      </c>
    </row>
    <row r="37" spans="2:13" ht="25.5" customHeight="1" thickTop="1" thickBot="1" x14ac:dyDescent="0.25">
      <c r="B37" s="60" t="s">
        <v>108</v>
      </c>
      <c r="C37" s="60" t="s">
        <v>8</v>
      </c>
      <c r="D37" s="149">
        <v>15</v>
      </c>
      <c r="E37" s="156">
        <v>0.04</v>
      </c>
      <c r="F37" s="152">
        <v>2000000</v>
      </c>
      <c r="G37" s="188">
        <f>IFERROR(((K37/'Mina produktionsnyckeltal'!$D$12)/D37)+(((K37/'Mina produktionsnyckeltal'!$D$12)*0.5)*E37),0)</f>
        <v>31.164383561643838</v>
      </c>
      <c r="H37" s="197">
        <f>G37/'Mina produktionsnyckeltal'!D22</f>
        <v>0.33874329958308519</v>
      </c>
      <c r="I37" s="198">
        <f>J37/C6</f>
        <v>108.33333333333336</v>
      </c>
      <c r="J37" s="198">
        <f>G37*'Mina produktionsnyckeltal'!D8*365/'Mina produktionsnyckeltal'!D10</f>
        <v>173333.33333333337</v>
      </c>
      <c r="K37" s="200">
        <f>F37/'Mina produktionsnyckeltal'!D8</f>
        <v>1250</v>
      </c>
    </row>
    <row r="38" spans="2:13" ht="35.25" customHeight="1" thickTop="1" thickBot="1" x14ac:dyDescent="0.25">
      <c r="C38" s="270" t="s">
        <v>10</v>
      </c>
      <c r="D38" s="270"/>
      <c r="E38" s="56" t="s">
        <v>15</v>
      </c>
      <c r="F38" s="56" t="s">
        <v>11</v>
      </c>
      <c r="G38" s="62"/>
      <c r="H38" s="62"/>
      <c r="I38" s="62"/>
      <c r="J38" s="194"/>
    </row>
    <row r="39" spans="2:13" ht="25.5" customHeight="1" thickTop="1" thickBot="1" x14ac:dyDescent="0.25">
      <c r="B39" s="60" t="s">
        <v>26</v>
      </c>
      <c r="C39" s="271" t="s">
        <v>9</v>
      </c>
      <c r="D39" s="272"/>
      <c r="E39" s="288">
        <f>'Mitt ekonomiska underlag'!G49</f>
        <v>0.2946298984034833</v>
      </c>
      <c r="F39" s="127">
        <f>'Mitt ekonomiska underlag'!G44</f>
        <v>275</v>
      </c>
      <c r="G39" s="188">
        <f>E39*F39</f>
        <v>81.023222060957906</v>
      </c>
      <c r="H39" s="197">
        <f>G39/'Mina produktionsnyckeltal'!D22</f>
        <v>0.88068719631475989</v>
      </c>
      <c r="I39" s="198">
        <f>J39/C6</f>
        <v>281.65215287856796</v>
      </c>
      <c r="J39" s="198">
        <f>G39*'Mina produktionsnyckeltal'!D8*365/'Mina produktionsnyckeltal'!D10</f>
        <v>450643.44460570876</v>
      </c>
    </row>
    <row r="40" spans="2:13" ht="25.5" customHeight="1" thickTop="1" thickBot="1" x14ac:dyDescent="0.25">
      <c r="B40" s="60" t="s">
        <v>27</v>
      </c>
      <c r="C40" s="271" t="s">
        <v>9</v>
      </c>
      <c r="D40" s="272"/>
      <c r="E40" s="288">
        <f>'Mitt ekonomiska underlag'!G56</f>
        <v>0.2946298984034833</v>
      </c>
      <c r="F40" s="127">
        <f>'Mitt ekonomiska underlag'!G51</f>
        <v>300</v>
      </c>
      <c r="G40" s="188">
        <f>E40*F40</f>
        <v>88.388969521044984</v>
      </c>
      <c r="H40" s="197">
        <f>G40/'Mina produktionsnyckeltal'!D22</f>
        <v>0.96074966870701073</v>
      </c>
      <c r="I40" s="198">
        <f>J40/C6</f>
        <v>307.25689404934684</v>
      </c>
      <c r="J40" s="198">
        <f>G40*'Mina produktionsnyckeltal'!D8*365/'Mina produktionsnyckeltal'!D10</f>
        <v>491611.03047895496</v>
      </c>
    </row>
    <row r="41" spans="2:13" ht="25.5" customHeight="1" thickTop="1" thickBot="1" x14ac:dyDescent="0.25">
      <c r="B41" s="91" t="s">
        <v>116</v>
      </c>
      <c r="C41" s="96"/>
      <c r="D41" s="96"/>
      <c r="E41" s="93"/>
      <c r="F41" s="94"/>
      <c r="G41" s="90">
        <f>SUM(G36:G40)</f>
        <v>262.90534226693444</v>
      </c>
      <c r="H41" s="204">
        <f t="shared" ref="H41:J41" si="5">SUM(H36:H40)</f>
        <v>2.857666763771026</v>
      </c>
      <c r="I41" s="205">
        <f t="shared" si="5"/>
        <v>913.90904692791491</v>
      </c>
      <c r="J41" s="205">
        <f t="shared" si="5"/>
        <v>1462254.4750846638</v>
      </c>
    </row>
    <row r="42" spans="2:13" ht="25.5" customHeight="1" thickTop="1" x14ac:dyDescent="0.2">
      <c r="B42" s="25"/>
      <c r="C42" s="25"/>
      <c r="E42" s="25"/>
      <c r="F42" s="25"/>
      <c r="G42" s="33"/>
    </row>
    <row r="43" spans="2:13" ht="30" customHeight="1" thickBot="1" x14ac:dyDescent="0.25">
      <c r="B43" s="34" t="s">
        <v>112</v>
      </c>
      <c r="C43" s="266" t="s">
        <v>10</v>
      </c>
      <c r="D43" s="266"/>
      <c r="E43" s="7" t="s">
        <v>15</v>
      </c>
      <c r="F43" s="7" t="s">
        <v>11</v>
      </c>
      <c r="G43" s="56" t="s">
        <v>187</v>
      </c>
      <c r="H43" s="56" t="s">
        <v>189</v>
      </c>
      <c r="I43" s="56" t="s">
        <v>190</v>
      </c>
      <c r="J43" s="212" t="s">
        <v>188</v>
      </c>
    </row>
    <row r="44" spans="2:13" ht="25.5" customHeight="1" thickTop="1" thickBot="1" x14ac:dyDescent="0.25">
      <c r="B44" s="60" t="s">
        <v>113</v>
      </c>
      <c r="C44" s="268" t="s">
        <v>115</v>
      </c>
      <c r="D44" s="269"/>
      <c r="E44" s="156">
        <v>0.05</v>
      </c>
      <c r="F44" s="185">
        <f>G27+G33+G41</f>
        <v>1950.8715151408555</v>
      </c>
      <c r="G44" s="188">
        <f>F44*E44</f>
        <v>97.543575757042788</v>
      </c>
      <c r="H44" s="197">
        <f>G44/'Mina produktionsnyckeltal'!D22</f>
        <v>1.060256258228726</v>
      </c>
      <c r="I44" s="198">
        <f>J44/C6</f>
        <v>339.0800490601963</v>
      </c>
      <c r="J44" s="198">
        <f>G44*'Mina produktionsnyckeltal'!D8*365/'Mina produktionsnyckeltal'!D10</f>
        <v>542528.07849631412</v>
      </c>
    </row>
    <row r="45" spans="2:13" ht="25.5" customHeight="1" thickTop="1" thickBot="1" x14ac:dyDescent="0.25">
      <c r="B45" s="91" t="s">
        <v>117</v>
      </c>
      <c r="C45" s="92"/>
      <c r="D45" s="96"/>
      <c r="E45" s="93"/>
      <c r="F45" s="94"/>
      <c r="G45" s="90">
        <f>G44</f>
        <v>97.543575757042788</v>
      </c>
      <c r="H45" s="105">
        <f t="shared" ref="H45:J45" si="6">H44</f>
        <v>1.060256258228726</v>
      </c>
      <c r="I45" s="90">
        <f t="shared" si="6"/>
        <v>339.0800490601963</v>
      </c>
      <c r="J45" s="90">
        <f t="shared" si="6"/>
        <v>542528.07849631412</v>
      </c>
    </row>
    <row r="46" spans="2:13" ht="25.5" customHeight="1" thickTop="1" thickBot="1" x14ac:dyDescent="0.25">
      <c r="B46" s="25"/>
      <c r="C46" s="25"/>
      <c r="D46" s="25"/>
      <c r="E46" s="25"/>
      <c r="F46" s="25"/>
      <c r="G46" s="201"/>
      <c r="H46" s="202"/>
      <c r="I46" s="202"/>
      <c r="J46" s="202"/>
    </row>
    <row r="47" spans="2:13" ht="30" customHeight="1" thickTop="1" thickBot="1" x14ac:dyDescent="0.25">
      <c r="B47" s="195"/>
      <c r="C47" s="195"/>
      <c r="D47" s="195"/>
      <c r="E47" s="195"/>
      <c r="F47" s="195"/>
      <c r="G47" s="56" t="s">
        <v>187</v>
      </c>
      <c r="H47" s="56" t="s">
        <v>189</v>
      </c>
      <c r="I47" s="56" t="s">
        <v>190</v>
      </c>
      <c r="J47" s="212" t="s">
        <v>188</v>
      </c>
    </row>
    <row r="48" spans="2:13" ht="30" customHeight="1" thickTop="1" thickBot="1" x14ac:dyDescent="0.25">
      <c r="B48" s="104" t="s">
        <v>106</v>
      </c>
      <c r="C48" s="99"/>
      <c r="D48" s="92"/>
      <c r="E48" s="99"/>
      <c r="F48" s="99"/>
      <c r="G48" s="209">
        <f>G12-G27</f>
        <v>341.68305016151726</v>
      </c>
      <c r="H48" s="210">
        <f t="shared" ref="H48:J48" si="7">H12-H27</f>
        <v>3.8806128640744681</v>
      </c>
      <c r="I48" s="209">
        <f t="shared" si="7"/>
        <v>666.32679341860785</v>
      </c>
      <c r="J48" s="209">
        <f t="shared" si="7"/>
        <v>1066122.869469773</v>
      </c>
    </row>
    <row r="49" spans="2:10" s="98" customFormat="1" ht="30" customHeight="1" thickTop="1" thickBot="1" x14ac:dyDescent="0.25">
      <c r="B49" s="104" t="s">
        <v>110</v>
      </c>
      <c r="C49" s="99"/>
      <c r="D49" s="92"/>
      <c r="E49" s="99"/>
      <c r="F49" s="99"/>
      <c r="G49" s="209">
        <f>G48-G33</f>
        <v>314.0338271260789</v>
      </c>
      <c r="H49" s="210">
        <f t="shared" ref="H49:J49" si="8">H48-H33</f>
        <v>3.580077831080573</v>
      </c>
      <c r="I49" s="209">
        <f t="shared" si="8"/>
        <v>561.32679341860785</v>
      </c>
      <c r="J49" s="209">
        <f t="shared" si="8"/>
        <v>912340.52420600154</v>
      </c>
    </row>
    <row r="50" spans="2:10" s="100" customFormat="1" ht="30" customHeight="1" thickTop="1" thickBot="1" x14ac:dyDescent="0.25">
      <c r="B50" s="104" t="s">
        <v>111</v>
      </c>
      <c r="C50" s="99"/>
      <c r="D50" s="92"/>
      <c r="E50" s="99"/>
      <c r="F50" s="99"/>
      <c r="G50" s="209">
        <f>G49-G41</f>
        <v>51.128484859144464</v>
      </c>
      <c r="H50" s="210">
        <f t="shared" ref="H50:J50" si="9">H49-H41</f>
        <v>0.72241106730954696</v>
      </c>
      <c r="I50" s="209">
        <f t="shared" si="9"/>
        <v>-352.58225350930707</v>
      </c>
      <c r="J50" s="209">
        <f t="shared" si="9"/>
        <v>-549913.95087866229</v>
      </c>
    </row>
    <row r="51" spans="2:10" s="100" customFormat="1" ht="30" customHeight="1" thickTop="1" thickBot="1" x14ac:dyDescent="0.25">
      <c r="B51" s="104" t="s">
        <v>114</v>
      </c>
      <c r="C51" s="99"/>
      <c r="D51" s="92"/>
      <c r="E51" s="99"/>
      <c r="F51" s="99"/>
      <c r="G51" s="209">
        <f>G50-G45</f>
        <v>-46.415090897898324</v>
      </c>
      <c r="H51" s="210">
        <f t="shared" ref="H51:J51" si="10">H50-H45</f>
        <v>-0.33784519091917908</v>
      </c>
      <c r="I51" s="209">
        <f t="shared" si="10"/>
        <v>-691.66230256950337</v>
      </c>
      <c r="J51" s="209">
        <f t="shared" si="10"/>
        <v>-1092442.0293749764</v>
      </c>
    </row>
    <row r="52" spans="2:10" s="102" customFormat="1" ht="30" customHeight="1" thickTop="1" x14ac:dyDescent="0.2">
      <c r="B52" s="20"/>
      <c r="C52" s="20"/>
      <c r="D52" s="20"/>
      <c r="E52" s="20"/>
      <c r="F52" s="20"/>
      <c r="G52" s="20"/>
      <c r="H52" s="101"/>
      <c r="I52" s="101"/>
      <c r="J52" s="101"/>
    </row>
  </sheetData>
  <sheetProtection algorithmName="SHA-512" hashValue="EyaW90JSzH7o2yjnvVsH/WAUJTwDLk82kD7h6ULYcNYNvxpS1l4t+K6fRbdHJ5Sw9THrE8iHM/iE5wY+FFQ9QA==" saltValue="c2pNQX6cSY03vly+T3xTsw==" spinCount="100000" sheet="1" selectLockedCells="1"/>
  <mergeCells count="32">
    <mergeCell ref="C1:D1"/>
    <mergeCell ref="E11:F11"/>
    <mergeCell ref="E17:F17"/>
    <mergeCell ref="E24:F24"/>
    <mergeCell ref="E23:F23"/>
    <mergeCell ref="E21:F21"/>
    <mergeCell ref="E20:F20"/>
    <mergeCell ref="B3:J3"/>
    <mergeCell ref="C21:D21"/>
    <mergeCell ref="C20:D20"/>
    <mergeCell ref="C19:D19"/>
    <mergeCell ref="C18:D18"/>
    <mergeCell ref="C17:D17"/>
    <mergeCell ref="C16:D16"/>
    <mergeCell ref="C15:D15"/>
    <mergeCell ref="C6:D6"/>
    <mergeCell ref="C29:D29"/>
    <mergeCell ref="C14:D14"/>
    <mergeCell ref="C7:D7"/>
    <mergeCell ref="C44:D44"/>
    <mergeCell ref="C43:D43"/>
    <mergeCell ref="C38:D38"/>
    <mergeCell ref="C40:D40"/>
    <mergeCell ref="C39:D39"/>
    <mergeCell ref="C32:D32"/>
    <mergeCell ref="C31:D31"/>
    <mergeCell ref="C30:D30"/>
    <mergeCell ref="C26:D26"/>
    <mergeCell ref="C25:D25"/>
    <mergeCell ref="C24:D24"/>
    <mergeCell ref="C23:D23"/>
    <mergeCell ref="C22:D22"/>
  </mergeCells>
  <phoneticPr fontId="2" type="noConversion"/>
  <printOptions horizontalCentered="1"/>
  <pageMargins left="0.39370078740157483" right="0.39370078740157483" top="0.55118110236220474" bottom="0.55118110236220474" header="0.31496062992125984" footer="0.31496062992125984"/>
  <pageSetup paperSize="9" scale="72" fitToHeight="2" orientation="portrait" r:id="rId1"/>
  <headerFooter alignWithMargins="0"/>
  <rowBreaks count="1" manualBreakCount="1">
    <brk id="33" min="1" max="9" man="1"/>
  </rowBreaks>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8BEDED63186754FBBC61ED0D8286DB3" ma:contentTypeVersion="10" ma:contentTypeDescription="Skapa ett nytt dokument." ma:contentTypeScope="" ma:versionID="50880da68ba9ce941892c82081406f6b">
  <xsd:schema xmlns:xsd="http://www.w3.org/2001/XMLSchema" xmlns:xs="http://www.w3.org/2001/XMLSchema" xmlns:p="http://schemas.microsoft.com/office/2006/metadata/properties" xmlns:ns2="cd36dca1-6d4f-449c-8f0a-10c0f44a09de" targetNamespace="http://schemas.microsoft.com/office/2006/metadata/properties" ma:root="true" ma:fieldsID="1b24ad33c8bcaecef9dbba42bf28f0a9" ns2:_="">
    <xsd:import namespace="cd36dca1-6d4f-449c-8f0a-10c0f44a09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36dca1-6d4f-449c-8f0a-10c0f44a09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FAF1C9-784E-479C-9DE6-08E07237B29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542E27F-5FDF-4779-AB0E-28919D504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36dca1-6d4f-449c-8f0a-10c0f44a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CDC059-3F70-4B77-8DBF-9EE3BCDA54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7</vt:i4>
      </vt:variant>
    </vt:vector>
  </HeadingPairs>
  <TitlesOfParts>
    <vt:vector size="11" baseType="lpstr">
      <vt:lpstr>Introduktion</vt:lpstr>
      <vt:lpstr>Mina produktionsnyckeltal</vt:lpstr>
      <vt:lpstr>Mitt ekonomiska underlag</vt:lpstr>
      <vt:lpstr>Min kalkyl</vt:lpstr>
      <vt:lpstr>Introduktion!Utskriftsområde</vt:lpstr>
      <vt:lpstr>'Min kalkyl'!Utskriftsområde</vt:lpstr>
      <vt:lpstr>'Mina produktionsnyckeltal'!Utskriftsområde</vt:lpstr>
      <vt:lpstr>'Mitt ekonomiska underlag'!Utskriftsområde</vt:lpstr>
      <vt:lpstr>'Min kalkyl'!Utskriftsrubriker</vt:lpstr>
      <vt:lpstr>'Mina produktionsnyckeltal'!Utskriftsrubriker</vt:lpstr>
      <vt:lpstr>'Mitt ekonomiska underlag'!Utskriftsrubriker</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a05ansk1</dc:creator>
  <cp:lastModifiedBy>Pontus Almerheim</cp:lastModifiedBy>
  <cp:lastPrinted>2021-06-11T09:27:33Z</cp:lastPrinted>
  <dcterms:created xsi:type="dcterms:W3CDTF">2008-10-09T07:54:28Z</dcterms:created>
  <dcterms:modified xsi:type="dcterms:W3CDTF">2024-01-09T10:24:14Z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0x010100E8BEDED63186754FBBC61ED0D8286DB3</vt:lpwstr>
  </property>
</Properties>
</file>