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0" documentId="8_{1B33FDAA-DB81-4250-9F9C-903EE6C9A1DF}" xr6:coauthVersionLast="47" xr6:coauthVersionMax="47" xr10:uidLastSave="{00000000-0000-0000-0000-000000000000}"/>
  <bookViews>
    <workbookView xWindow="-108" yWindow="-108" windowWidth="23256" windowHeight="12456" xr2:uid="{DC8249FB-2F31-4ACD-AB98-FAC27BF8A77F}"/>
  </bookViews>
  <sheets>
    <sheet name="Lätt köttrastju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6" i="1"/>
  <c r="A65" i="1"/>
  <c r="F58" i="1"/>
  <c r="F57" i="1"/>
  <c r="G57" i="1" s="1"/>
  <c r="F56" i="1"/>
  <c r="G56" i="1" s="1"/>
  <c r="F55" i="1"/>
  <c r="G55" i="1" s="1"/>
  <c r="F54" i="1"/>
  <c r="G54" i="1" s="1"/>
  <c r="G58" i="1" s="1"/>
  <c r="E54" i="1"/>
  <c r="F45" i="1"/>
  <c r="G42" i="1"/>
  <c r="F42" i="1"/>
  <c r="G34" i="1"/>
  <c r="F34" i="1"/>
  <c r="F33" i="1"/>
  <c r="G33" i="1" s="1"/>
  <c r="D6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1" i="1"/>
  <c r="F21" i="1"/>
  <c r="F20" i="1"/>
  <c r="E14" i="1"/>
  <c r="D14" i="1"/>
  <c r="F14" i="1" s="1"/>
  <c r="G14" i="1" s="1"/>
  <c r="D12" i="1"/>
  <c r="D13" i="1" s="1"/>
  <c r="F13" i="1" s="1"/>
  <c r="G13" i="1" s="1"/>
  <c r="C8" i="1"/>
  <c r="F43" i="1" s="1"/>
  <c r="C71" i="1" l="1"/>
  <c r="G43" i="1"/>
  <c r="D71" i="1" s="1"/>
  <c r="D30" i="1"/>
  <c r="F30" i="1" s="1"/>
  <c r="G30" i="1" s="1"/>
  <c r="F44" i="1"/>
  <c r="G44" i="1" s="1"/>
  <c r="C47" i="1"/>
  <c r="C46" i="1" s="1"/>
  <c r="G20" i="1"/>
  <c r="D31" i="1"/>
  <c r="F31" i="1" s="1"/>
  <c r="G45" i="1"/>
  <c r="F12" i="1"/>
  <c r="G23" i="1"/>
  <c r="C69" i="1"/>
  <c r="D35" i="1"/>
  <c r="F35" i="1" s="1"/>
  <c r="D15" i="1"/>
  <c r="F15" i="1" s="1"/>
  <c r="G15" i="1" s="1"/>
  <c r="D29" i="1"/>
  <c r="F29" i="1" s="1"/>
  <c r="C66" i="1" s="1"/>
  <c r="D32" i="1"/>
  <c r="F32" i="1" s="1"/>
  <c r="G31" i="1" l="1"/>
  <c r="D67" i="1" s="1"/>
  <c r="C67" i="1"/>
  <c r="G12" i="1"/>
  <c r="F16" i="1"/>
  <c r="G32" i="1"/>
  <c r="D68" i="1" s="1"/>
  <c r="C68" i="1"/>
  <c r="D46" i="1"/>
  <c r="F46" i="1" s="1"/>
  <c r="F5" i="1"/>
  <c r="E22" i="1" s="1"/>
  <c r="F22" i="1" s="1"/>
  <c r="G29" i="1"/>
  <c r="D66" i="1" s="1"/>
  <c r="C70" i="1"/>
  <c r="G35" i="1"/>
  <c r="D70" i="1" s="1"/>
  <c r="D47" i="1" l="1"/>
  <c r="F47" i="1" s="1"/>
  <c r="G47" i="1" s="1"/>
  <c r="G22" i="1"/>
  <c r="D65" i="1" s="1"/>
  <c r="C65" i="1"/>
  <c r="F36" i="1"/>
  <c r="G36" i="1" s="1"/>
  <c r="F38" i="1"/>
  <c r="G16" i="1"/>
  <c r="G46" i="1"/>
  <c r="D72" i="1" s="1"/>
  <c r="C72" i="1"/>
  <c r="F48" i="1"/>
  <c r="G48" i="1" s="1"/>
  <c r="C73" i="1" l="1"/>
  <c r="F50" i="1"/>
  <c r="G38" i="1"/>
  <c r="D73" i="1"/>
  <c r="F60" i="1" l="1"/>
  <c r="G60" i="1" s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Lindahl</author>
    <author>tc={F371F20E-A440-4A74-B7AB-BC7A5FD126FF}</author>
    <author>tc={BA2DA986-859B-4252-9661-F1A856E6C436}</author>
    <author>tc={2516D7B3-53FB-478E-905C-2D763FCB6C3C}</author>
    <author>tc={768F9274-D582-4923-A4B9-D325F2464259}</author>
  </authors>
  <commentList>
    <comment ref="D15" authorId="0" shapeId="0" xr:uid="{B317B698-4F8C-4E51-B950-8716D4E2BF67}">
      <text>
        <r>
          <rPr>
            <b/>
            <sz val="10"/>
            <color indexed="81"/>
            <rFont val="Tahoma"/>
            <family val="2"/>
          </rPr>
          <t>OBS
Förutsätter tillräcklig areal dvs 1 ha/DE, läs mer på www.sjv.se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54" authorId="1" shapeId="0" xr:uid="{F371F20E-A440-4A74-B7AB-BC7A5FD126FF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5" authorId="2" shapeId="0" xr:uid="{BA2DA986-859B-4252-9661-F1A856E6C436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6" authorId="3" shapeId="0" xr:uid="{2516D7B3-53FB-478E-905C-2D763FCB6C3C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7" authorId="4" shapeId="0" xr:uid="{768F9274-D582-4923-A4B9-D325F2464259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<sst xmlns="http://schemas.openxmlformats.org/spreadsheetml/2006/main" count="105" uniqueCount="71">
  <si>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Lätt köttrastjur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</si>
  <si>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</si>
  <si>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</si>
  <si>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</si>
  <si>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</si>
  <si>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</si>
  <si>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</si>
  <si>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</si>
  <si>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</si>
  <si>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</si>
  <si>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</si>
  <si>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</si>
  <si>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</si>
  <si>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</si>
  <si>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</si>
  <si>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</si>
  <si>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Eko tillägg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</si>
  <si>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</si>
  <si>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</si>
  <si>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</si>
  <si>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</si>
  <si>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</si>
  <si>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</si>
  <si>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</si>
  <si>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</si>
  <si>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</si>
  <si>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</si>
  <si>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</si>
  <si>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</si>
  <si>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</si>
  <si>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</si>
  <si>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</si>
  <si>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</si>
  <si>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</si>
  <si>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</si>
  <si>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</si>
  <si>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</si>
  <si>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</si>
  <si>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</si>
  <si>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</si>
  <si>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</si>
  <si>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</si>
  <si>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</si>
  <si>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</si>
  <si>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</si>
  <si>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</si>
  <si>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</si>
  <si>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</si>
  <si>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</si>
  <si>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</si>
  <si>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</si>
  <si>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</si>
  <si>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</si>
  <si>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</si>
  <si>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</si>
  <si>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</si>
  <si>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</si>
  <si>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</si>
  <si>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</si>
  <si>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</si>
  <si>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</si>
  <si>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</si>
  <si>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</si>
  <si>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</si>
  <si>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</si>
  <si>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</si>
  <si>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</si>
  <si>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Lätt köttrastjur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</si>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</sst>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_-* #,##0.0\ &quot;kr&quot;_-;\-* #,##0.0\ &quot;kr&quot;_-;_-* &quot;-&quot;??\ &quot;kr&quot;_-;_-@_-"/>
    <numFmt numFmtId="166" formatCode="0.0"/>
    <numFmt numFmtId="167" formatCode="#,##0.0"/>
    <numFmt numFmtId="168" formatCode="#,##0_ ;\-#,##0\ "/>
  </numFmts>
  <fonts count="17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2" fontId="6" fillId="0" borderId="1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3" borderId="1" xfId="2" applyNumberFormat="1" applyFont="1" applyFill="1" applyBorder="1" applyAlignment="1" applyProtection="1">
      <alignment horizontal="center"/>
    </xf>
    <xf numFmtId="7" fontId="6" fillId="0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5" borderId="3" xfId="2" applyNumberFormat="1" applyFont="1" applyFill="1" applyBorder="1" applyAlignment="1" applyProtection="1">
      <alignment horizontal="right"/>
    </xf>
    <xf numFmtId="165" fontId="5" fillId="5" borderId="3" xfId="2" applyNumberFormat="1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" fontId="6" fillId="0" borderId="0" xfId="0" applyNumberFormat="1" applyFont="1" applyAlignment="1" applyProtection="1">
      <alignment horizontal="center"/>
      <protection locked="0"/>
    </xf>
    <xf numFmtId="4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0" fontId="5" fillId="0" borderId="9" xfId="0" applyFont="1" applyBorder="1" applyAlignment="1">
      <alignment horizontal="right"/>
    </xf>
    <xf numFmtId="0" fontId="6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10" xfId="3" applyFont="1" applyBorder="1" applyAlignment="1" applyProtection="1">
      <alignment horizontal="center"/>
      <protection locked="0"/>
    </xf>
    <xf numFmtId="3" fontId="6" fillId="3" borderId="10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6" fillId="3" borderId="10" xfId="0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166" fontId="6" fillId="3" borderId="10" xfId="0" applyNumberFormat="1" applyFont="1" applyFill="1" applyBorder="1" applyAlignment="1">
      <alignment horizontal="center"/>
    </xf>
    <xf numFmtId="0" fontId="6" fillId="3" borderId="10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7" borderId="3" xfId="2" applyNumberFormat="1" applyFont="1" applyFill="1" applyBorder="1" applyAlignment="1" applyProtection="1">
      <alignment horizontal="right"/>
    </xf>
    <xf numFmtId="44" fontId="6" fillId="7" borderId="3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1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164" fontId="5" fillId="3" borderId="4" xfId="2" applyNumberFormat="1" applyFont="1" applyFill="1" applyBorder="1" applyAlignment="1" applyProtection="1">
      <alignment horizontal="right"/>
    </xf>
    <xf numFmtId="7" fontId="5" fillId="3" borderId="4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3" fontId="6" fillId="0" borderId="10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10" xfId="0" applyNumberFormat="1" applyFont="1" applyBorder="1" applyAlignment="1" applyProtection="1">
      <alignment horizontal="center"/>
      <protection locked="0"/>
    </xf>
    <xf numFmtId="167" fontId="6" fillId="0" borderId="10" xfId="0" applyNumberFormat="1" applyFont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>
      <alignment horizontal="center"/>
    </xf>
    <xf numFmtId="9" fontId="6" fillId="0" borderId="10" xfId="3" applyFont="1" applyFill="1" applyBorder="1" applyAlignment="1" applyProtection="1">
      <alignment horizontal="center"/>
      <protection locked="0"/>
    </xf>
    <xf numFmtId="166" fontId="6" fillId="3" borderId="2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 applyProtection="1">
      <alignment horizontal="center"/>
      <protection locked="0"/>
    </xf>
    <xf numFmtId="164" fontId="6" fillId="10" borderId="3" xfId="2" applyNumberFormat="1" applyFont="1" applyFill="1" applyBorder="1" applyAlignment="1" applyProtection="1">
      <alignment horizontal="right"/>
    </xf>
    <xf numFmtId="44" fontId="6" fillId="10" borderId="3" xfId="2" applyFont="1" applyFill="1" applyBorder="1" applyAlignment="1" applyProtection="1">
      <alignment horizontal="right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8" fontId="6" fillId="3" borderId="12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8" fontId="6" fillId="0" borderId="10" xfId="1" applyNumberFormat="1" applyFont="1" applyBorder="1" applyAlignment="1" applyProtection="1">
      <alignment horizontal="center"/>
      <protection locked="0"/>
    </xf>
    <xf numFmtId="168" fontId="6" fillId="0" borderId="10" xfId="1" applyNumberFormat="1" applyFont="1" applyBorder="1" applyAlignment="1">
      <alignment horizontal="center"/>
    </xf>
    <xf numFmtId="164" fontId="5" fillId="12" borderId="3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13" xfId="0" applyFont="1" applyBorder="1"/>
    <xf numFmtId="0" fontId="13" fillId="0" borderId="7" xfId="0" applyFont="1" applyBorder="1"/>
    <xf numFmtId="0" fontId="5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3" fillId="0" borderId="0" xfId="0" applyFont="1"/>
    <xf numFmtId="164" fontId="14" fillId="0" borderId="0" xfId="0" applyNumberFormat="1" applyFont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9" fillId="2" borderId="0" xfId="0" applyFont="1" applyFill="1" applyAlignment="1">
      <alignment horizontal="center" wrapText="1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Lätt</a:t>
            </a:r>
            <a:r>
              <a:rPr lang="sv-SE" baseline="0">
                <a:solidFill>
                  <a:sysClr val="windowText" lastClr="000000"/>
                </a:solidFill>
              </a:rPr>
              <a:t> köttrastjur</a:t>
            </a:r>
            <a:r>
              <a:rPr lang="sv-SE">
                <a:solidFill>
                  <a:sysClr val="windowText" lastClr="000000"/>
                </a:solidFill>
              </a:rPr>
              <a:t>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E9-4EC0-B858-CB464B9B153D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9-4EC0-B858-CB464B9B153D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9-4EC0-B858-CB464B9B153D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9-4EC0-B858-CB464B9B153D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E9-4EC0-B858-CB464B9B153D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7E9-4EC0-B858-CB464B9B153D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7E9-4EC0-B858-CB464B9B153D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7E9-4EC0-B858-CB464B9B153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'Lätt köttrastjur '!$A$65:$A$72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'Lätt köttrastjur '!$C$65:$C$72</c:f>
              <c:numCache>
                <c:formatCode>_-* #\ ##0\ "kr"_-;\-* #\ ##0\ "kr"_-;_-* "-"??\ "kr"_-;_-@_-</c:formatCode>
                <c:ptCount val="8"/>
                <c:pt idx="0">
                  <c:v>9433.4277500000007</c:v>
                </c:pt>
                <c:pt idx="1">
                  <c:v>7325.63</c:v>
                </c:pt>
                <c:pt idx="2">
                  <c:v>1185.6000000000001</c:v>
                </c:pt>
                <c:pt idx="3">
                  <c:v>1596</c:v>
                </c:pt>
                <c:pt idx="4">
                  <c:v>268</c:v>
                </c:pt>
                <c:pt idx="5">
                  <c:v>1520</c:v>
                </c:pt>
                <c:pt idx="6">
                  <c:v>1350</c:v>
                </c:pt>
                <c:pt idx="7">
                  <c:v>669.29347500000006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E9-4EC0-B858-CB464B9B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Lätt köttrastjur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A8-4327-BAF4-12F6602199D3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A8-4327-BAF4-12F6602199D3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A8-4327-BAF4-12F6602199D3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A8-4327-BAF4-12F6602199D3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A8-4327-BAF4-12F6602199D3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A8-4327-BAF4-12F6602199D3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A8-4327-BAF4-12F6602199D3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A8-4327-BAF4-12F6602199D3}"/>
              </c:ext>
            </c:extLst>
          </c:dPt>
          <c:dLbls>
            <c:numFmt formatCode="_-* #,##0.0\ &quot;kr&quot;_-;\-* #,##0.0\ &quot;kr&quot;_-;_-* &quot;-&quot;?\ &quot;kr&quot;_-;_-@_-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'Lätt köttrastjur '!$A$65:$A$72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'Lätt köttrastjur '!$D$65:$D$72</c:f>
              <c:numCache>
                <c:formatCode>_-* #\ ##0\ "kr"_-;\-* #\ ##0\ "kr"_-;_-* "-"??\ "kr"_-;_-@_-</c:formatCode>
                <c:ptCount val="8"/>
                <c:pt idx="0">
                  <c:v>27.745375735294118</c:v>
                </c:pt>
                <c:pt idx="1">
                  <c:v>21.545970588235292</c:v>
                </c:pt>
                <c:pt idx="2">
                  <c:v>3.487058823529412</c:v>
                </c:pt>
                <c:pt idx="3">
                  <c:v>4.6941176470588237</c:v>
                </c:pt>
                <c:pt idx="4">
                  <c:v>0.78823529411764715</c:v>
                </c:pt>
                <c:pt idx="5">
                  <c:v>4.4705882352941178</c:v>
                </c:pt>
                <c:pt idx="6">
                  <c:v>3.9705882352941178</c:v>
                </c:pt>
                <c:pt idx="7">
                  <c:v>1.9685102205882354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CA8-4327-BAF4-12F660219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&amp;C&amp;"Myriad Pro,Normal"Gård &amp; Djurhälsan – Växel: 0771-21 65 00 – www.gårdochdjurhälsan.se</c:oddFooter>
    </c:headerFooter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76</xdr:row>
      <xdr:rowOff>0</xdr:rowOff>
    </xdr:from>
    <xdr:to>
      <xdr:col>6</xdr:col>
      <xdr:colOff>274320</xdr:colOff>
      <xdr:row>98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8AE10C5-4DB4-43D5-A645-F296583BA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100</xdr:row>
      <xdr:rowOff>60960</xdr:rowOff>
    </xdr:from>
    <xdr:to>
      <xdr:col>6</xdr:col>
      <xdr:colOff>601980</xdr:colOff>
      <xdr:row>117</xdr:row>
      <xdr:rowOff>106680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27E6F6E-3CFA-4056-954E-E57641550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81C812E0-7579-4DBD-9ACA-28C929217427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4" dT="2023-12-11T09:05:52.33" personId="{81C812E0-7579-4DBD-9ACA-28C929217427}" id="{F371F20E-A440-4A74-B7AB-BC7A5FD126FF}">
    <text xml:space="preserve">Gårdsstödet är 143,51 euro per hektar för 2023. </text>
  </threadedComment>
  <threadedComment ref="E55" dT="2023-12-11T09:27:24.07" personId="{81C812E0-7579-4DBD-9ACA-28C929217427}" id="{BA2DA986-859B-4252-9661-F1A856E6C436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6" dT="2023-12-11T09:27:43.00" personId="{81C812E0-7579-4DBD-9ACA-28C929217427}" id="{2516D7B3-53FB-478E-905C-2D763FCB6C3C}">
    <text>Ersättningen är 1 850 kr/ha för 2023</text>
  </threadedComment>
  <threadedComment ref="E57" dT="2023-12-11T09:28:06.43" personId="{81C812E0-7579-4DBD-9ACA-28C929217427}" id="{768F9274-D582-4923-A4B9-D325F2464259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143C9-0D8C-4F18-9775-0F18FF34D443}">
  <sheetPr>
    <tabColor rgb="FFCF2C35"/>
  </sheetPr>
  <dimension ref="A3:G76"/>
  <sheetViews>
    <sheetView showGridLines="0" tabSelected="1" zoomScaleNormal="100" workbookViewId="0">
      <selection activeCell="A4" sqref="A4"/>
    </sheetView>
  </sheetViews>
  <sheetFormatPr defaultColWidth="9.109375" defaultRowHeight="13.8"/>
  <cols>
    <col min="1" max="1" width="12.6640625" style="4" customWidth="1"/>
    <col min="2" max="2" width="33.5546875" style="4" customWidth="1"/>
    <col min="3" max="3" width="9.88671875" style="74" bestFit="1" customWidth="1"/>
    <col min="4" max="4" width="10.6640625" style="74" customWidth="1"/>
    <col min="5" max="5" width="8.109375" style="74" customWidth="1"/>
    <col min="6" max="6" width="12.44140625" style="103" customWidth="1"/>
    <col min="7" max="7" width="11" style="4" customWidth="1"/>
    <col min="8" max="8" width="9.109375" style="4"/>
    <col min="9" max="9" width="8.44140625" style="4" customWidth="1"/>
    <col min="10" max="16384" width="9.109375" style="4"/>
  </cols>
  <sheetData>
    <row r="3" spans="1:7" s="2" customFormat="1" ht="15.6">
      <c r="A3" s="114" t="s">
        <v>0</v>
      </c>
      <c r="B3" s="115"/>
      <c r="C3" s="115"/>
      <c r="D3" s="115"/>
      <c r="E3" s="115"/>
      <c r="F3" s="115"/>
    </row>
    <row r="4" spans="1:7" s="2" customFormat="1" ht="15.6">
      <c r="A4" s="1"/>
      <c r="C4" s="3"/>
    </row>
    <row r="5" spans="1:7" ht="14.4">
      <c r="B5" s="5" t="s">
        <v>1</v>
      </c>
      <c r="C5" s="6">
        <v>11.532500000000001</v>
      </c>
      <c r="D5" s="7"/>
      <c r="E5" s="8" t="s">
        <v>2</v>
      </c>
      <c r="F5" s="9">
        <f>((F21+F23+F24+F25+F26+F27+F28+F29+F32+F33+F34+F35+F43+F44+F45)/2)+F20</f>
        <v>15342.775</v>
      </c>
    </row>
    <row r="6" spans="1:7" ht="14.4">
      <c r="B6" s="5" t="s">
        <v>3</v>
      </c>
      <c r="C6" s="10">
        <v>7</v>
      </c>
      <c r="D6" s="11" t="s">
        <v>4</v>
      </c>
      <c r="E6" s="8"/>
      <c r="F6" s="9"/>
    </row>
    <row r="7" spans="1:7" ht="14.4">
      <c r="B7" s="5" t="s">
        <v>5</v>
      </c>
      <c r="C7" s="12">
        <v>17</v>
      </c>
      <c r="D7" s="11" t="s">
        <v>4</v>
      </c>
      <c r="E7" s="116"/>
      <c r="F7" s="116"/>
    </row>
    <row r="8" spans="1:7" ht="14.4">
      <c r="B8" s="5" t="s">
        <v>6</v>
      </c>
      <c r="C8" s="13">
        <f>C7-C6</f>
        <v>10</v>
      </c>
      <c r="D8" s="14" t="s">
        <v>4</v>
      </c>
      <c r="E8" s="116"/>
      <c r="F8" s="116"/>
    </row>
    <row r="9" spans="1:7" ht="14.4">
      <c r="B9" s="15" t="s">
        <v>7</v>
      </c>
      <c r="C9" s="16">
        <v>340</v>
      </c>
      <c r="D9" s="16" t="s">
        <v>8</v>
      </c>
      <c r="E9" s="4"/>
      <c r="F9" s="4"/>
    </row>
    <row r="10" spans="1:7" s="17" customFormat="1" ht="13.2">
      <c r="B10" s="18"/>
      <c r="C10" s="19"/>
      <c r="E10" s="19"/>
      <c r="F10" s="20"/>
    </row>
    <row r="11" spans="1:7" ht="15" thickBot="1">
      <c r="A11" s="21"/>
      <c r="B11" s="22"/>
      <c r="C11" s="23" t="s">
        <v>9</v>
      </c>
      <c r="D11" s="23" t="s">
        <v>10</v>
      </c>
      <c r="E11" s="23" t="s">
        <v>11</v>
      </c>
      <c r="F11" s="24" t="s">
        <v>12</v>
      </c>
      <c r="G11" s="24" t="s">
        <v>13</v>
      </c>
    </row>
    <row r="12" spans="1:7" ht="14.4">
      <c r="A12" s="25" t="s">
        <v>14</v>
      </c>
      <c r="B12" s="26" t="s">
        <v>15</v>
      </c>
      <c r="C12" s="27" t="s">
        <v>8</v>
      </c>
      <c r="D12" s="28">
        <f>C9</f>
        <v>340</v>
      </c>
      <c r="E12" s="29">
        <v>56.7</v>
      </c>
      <c r="F12" s="30">
        <f>PRODUCT(D12*E12)</f>
        <v>19278</v>
      </c>
      <c r="G12" s="30">
        <f>F12/$C$9</f>
        <v>56.7</v>
      </c>
    </row>
    <row r="13" spans="1:7" ht="14.4">
      <c r="A13" s="31"/>
      <c r="B13" s="32" t="s">
        <v>16</v>
      </c>
      <c r="C13" s="33"/>
      <c r="D13" s="34">
        <f>D12</f>
        <v>340</v>
      </c>
      <c r="E13" s="35"/>
      <c r="F13" s="30">
        <f>PRODUCT(D13*E13)</f>
        <v>0</v>
      </c>
      <c r="G13" s="30">
        <f t="shared" ref="G13:G57" si="0">F13/$C$9</f>
        <v>0</v>
      </c>
    </row>
    <row r="14" spans="1:7" ht="14.4">
      <c r="A14" s="25" t="s">
        <v>17</v>
      </c>
      <c r="B14" s="32" t="s">
        <v>18</v>
      </c>
      <c r="C14" s="33"/>
      <c r="D14" s="36">
        <f>(C7-12)/12</f>
        <v>0.41666666666666669</v>
      </c>
      <c r="E14" s="37">
        <f>96*C5</f>
        <v>1107.1200000000001</v>
      </c>
      <c r="F14" s="30">
        <f>D14*E14</f>
        <v>461.30000000000007</v>
      </c>
      <c r="G14" s="30">
        <f t="shared" si="0"/>
        <v>1.3567647058823531</v>
      </c>
    </row>
    <row r="15" spans="1:7" ht="14.4">
      <c r="B15" s="32" t="s">
        <v>19</v>
      </c>
      <c r="C15" s="33"/>
      <c r="D15" s="36">
        <f>1/1.65*C8/12</f>
        <v>0.50505050505050508</v>
      </c>
      <c r="E15" s="38"/>
      <c r="F15" s="30">
        <f>D15*E15</f>
        <v>0</v>
      </c>
      <c r="G15" s="30">
        <f>F15/$C$9</f>
        <v>0</v>
      </c>
    </row>
    <row r="16" spans="1:7" s="42" customFormat="1" ht="15" thickBot="1">
      <c r="A16" s="21" t="s">
        <v>20</v>
      </c>
      <c r="B16" s="22"/>
      <c r="C16" s="39"/>
      <c r="D16" s="39"/>
      <c r="E16" s="39"/>
      <c r="F16" s="40">
        <f>SUM(F12:F14)</f>
        <v>19739.3</v>
      </c>
      <c r="G16" s="41">
        <f t="shared" si="0"/>
        <v>58.056764705882351</v>
      </c>
    </row>
    <row r="17" spans="1:7" s="17" customFormat="1" ht="14.4">
      <c r="C17" s="19"/>
      <c r="D17" s="19"/>
      <c r="E17" s="19"/>
      <c r="F17" s="43"/>
      <c r="G17" s="44"/>
    </row>
    <row r="18" spans="1:7" s="17" customFormat="1" ht="14.4">
      <c r="B18" s="19"/>
      <c r="C18" s="19"/>
      <c r="D18" s="19"/>
      <c r="E18" s="19"/>
      <c r="F18" s="43"/>
      <c r="G18" s="45"/>
    </row>
    <row r="19" spans="1:7" ht="15" thickBot="1">
      <c r="A19" s="21" t="s">
        <v>21</v>
      </c>
      <c r="B19" s="46"/>
      <c r="C19" s="23" t="s">
        <v>9</v>
      </c>
      <c r="D19" s="23" t="s">
        <v>10</v>
      </c>
      <c r="E19" s="23" t="s">
        <v>11</v>
      </c>
      <c r="F19" s="24" t="s">
        <v>12</v>
      </c>
      <c r="G19" s="47" t="s">
        <v>13</v>
      </c>
    </row>
    <row r="20" spans="1:7" ht="14.4">
      <c r="A20" s="25" t="s">
        <v>22</v>
      </c>
      <c r="B20" s="48" t="s">
        <v>23</v>
      </c>
      <c r="C20" s="49" t="s">
        <v>8</v>
      </c>
      <c r="D20" s="50">
        <v>290</v>
      </c>
      <c r="E20" s="51">
        <v>32</v>
      </c>
      <c r="F20" s="52">
        <f>PRODUCT(D20*E20)</f>
        <v>9280</v>
      </c>
      <c r="G20" s="53">
        <f t="shared" si="0"/>
        <v>27.294117647058822</v>
      </c>
    </row>
    <row r="21" spans="1:7" ht="14.4">
      <c r="A21" s="25"/>
      <c r="B21" s="48" t="s">
        <v>24</v>
      </c>
      <c r="C21" s="49" t="s">
        <v>25</v>
      </c>
      <c r="D21" s="50">
        <v>1</v>
      </c>
      <c r="E21" s="51">
        <v>0</v>
      </c>
      <c r="F21" s="52">
        <f>(D21*E21)</f>
        <v>0</v>
      </c>
      <c r="G21" s="53">
        <f t="shared" si="0"/>
        <v>0</v>
      </c>
    </row>
    <row r="22" spans="1:7" ht="14.4">
      <c r="A22" s="25"/>
      <c r="B22" s="48" t="s">
        <v>26</v>
      </c>
      <c r="C22" s="49"/>
      <c r="D22" s="54">
        <v>0.01</v>
      </c>
      <c r="E22" s="55">
        <f>F5</f>
        <v>15342.775</v>
      </c>
      <c r="F22" s="52">
        <f>D22*E22</f>
        <v>153.42775</v>
      </c>
      <c r="G22" s="53">
        <f t="shared" si="0"/>
        <v>0.45125808823529412</v>
      </c>
    </row>
    <row r="23" spans="1:7" ht="14.4">
      <c r="A23" s="25" t="s">
        <v>27</v>
      </c>
      <c r="B23" s="48" t="s">
        <v>28</v>
      </c>
      <c r="C23" s="49" t="s">
        <v>29</v>
      </c>
      <c r="D23" s="50">
        <v>1700</v>
      </c>
      <c r="E23" s="56">
        <v>2.1</v>
      </c>
      <c r="F23" s="52">
        <f t="shared" ref="F23:F34" si="1">PRODUCT(D23*E23)</f>
        <v>3570</v>
      </c>
      <c r="G23" s="53">
        <f t="shared" si="0"/>
        <v>10.5</v>
      </c>
    </row>
    <row r="24" spans="1:7" ht="14.4">
      <c r="A24" s="25"/>
      <c r="B24" s="57" t="s">
        <v>30</v>
      </c>
      <c r="C24" s="49" t="s">
        <v>29</v>
      </c>
      <c r="D24" s="58"/>
      <c r="E24" s="56"/>
      <c r="F24" s="52">
        <f>PRODUCT(D24*E24)</f>
        <v>0</v>
      </c>
      <c r="G24" s="53">
        <f t="shared" si="0"/>
        <v>0</v>
      </c>
    </row>
    <row r="25" spans="1:7" ht="14.4">
      <c r="A25" s="25"/>
      <c r="B25" s="57" t="s">
        <v>31</v>
      </c>
      <c r="C25" s="49" t="s">
        <v>29</v>
      </c>
      <c r="D25" s="58"/>
      <c r="E25" s="56"/>
      <c r="F25" s="52">
        <f>PRODUCT(D25*E25)</f>
        <v>0</v>
      </c>
      <c r="G25" s="53">
        <f t="shared" si="0"/>
        <v>0</v>
      </c>
    </row>
    <row r="26" spans="1:7" ht="14.4">
      <c r="A26" s="25"/>
      <c r="B26" s="57" t="s">
        <v>32</v>
      </c>
      <c r="C26" s="49" t="s">
        <v>8</v>
      </c>
      <c r="D26" s="58"/>
      <c r="E26" s="56"/>
      <c r="F26" s="52">
        <f>PRODUCT(D26*E26)</f>
        <v>0</v>
      </c>
      <c r="G26" s="53">
        <f t="shared" si="0"/>
        <v>0</v>
      </c>
    </row>
    <row r="27" spans="1:7" ht="14.4">
      <c r="A27" s="25"/>
      <c r="B27" s="57" t="s">
        <v>33</v>
      </c>
      <c r="C27" s="49" t="s">
        <v>8</v>
      </c>
      <c r="D27" s="59">
        <v>1100</v>
      </c>
      <c r="E27" s="56">
        <v>3.14</v>
      </c>
      <c r="F27" s="52">
        <f>PRODUCT(D27*E27)</f>
        <v>3454</v>
      </c>
      <c r="G27" s="53">
        <f t="shared" si="0"/>
        <v>10.158823529411764</v>
      </c>
    </row>
    <row r="28" spans="1:7" ht="14.4">
      <c r="A28" s="25"/>
      <c r="B28" s="57" t="s">
        <v>34</v>
      </c>
      <c r="C28" s="49" t="s">
        <v>35</v>
      </c>
      <c r="D28" s="60"/>
      <c r="E28" s="56"/>
      <c r="F28" s="52">
        <f t="shared" si="1"/>
        <v>0</v>
      </c>
      <c r="G28" s="53">
        <f t="shared" si="0"/>
        <v>0</v>
      </c>
    </row>
    <row r="29" spans="1:7" ht="14.4">
      <c r="A29" s="31"/>
      <c r="B29" s="32" t="s">
        <v>36</v>
      </c>
      <c r="C29" s="49" t="s">
        <v>35</v>
      </c>
      <c r="D29" s="61">
        <f>C8*30.3*0.1</f>
        <v>30.3</v>
      </c>
      <c r="E29" s="62">
        <v>8.5</v>
      </c>
      <c r="F29" s="52">
        <f t="shared" si="1"/>
        <v>257.55</v>
      </c>
      <c r="G29" s="53">
        <f t="shared" si="0"/>
        <v>0.75750000000000006</v>
      </c>
    </row>
    <row r="30" spans="1:7" ht="14.4">
      <c r="A30" s="31"/>
      <c r="B30" s="32" t="s">
        <v>37</v>
      </c>
      <c r="C30" s="49" t="s">
        <v>8</v>
      </c>
      <c r="D30" s="63">
        <f>0.05*(C8*30.4)</f>
        <v>15.200000000000001</v>
      </c>
      <c r="E30" s="62">
        <v>2.9</v>
      </c>
      <c r="F30" s="52">
        <f t="shared" si="1"/>
        <v>44.08</v>
      </c>
      <c r="G30" s="53">
        <f t="shared" si="0"/>
        <v>0.12964705882352939</v>
      </c>
    </row>
    <row r="31" spans="1:7" ht="14.4">
      <c r="A31" s="25" t="s">
        <v>38</v>
      </c>
      <c r="B31" s="32"/>
      <c r="C31" s="49" t="s">
        <v>39</v>
      </c>
      <c r="D31" s="63">
        <f>0.003*(C8*30.4)</f>
        <v>0.91200000000000003</v>
      </c>
      <c r="E31" s="38">
        <v>1300</v>
      </c>
      <c r="F31" s="52">
        <f t="shared" si="1"/>
        <v>1185.6000000000001</v>
      </c>
      <c r="G31" s="53">
        <f t="shared" si="0"/>
        <v>3.487058823529412</v>
      </c>
    </row>
    <row r="32" spans="1:7" ht="14.4">
      <c r="A32" s="25" t="s">
        <v>40</v>
      </c>
      <c r="B32" s="57" t="s">
        <v>40</v>
      </c>
      <c r="C32" s="49" t="s">
        <v>8</v>
      </c>
      <c r="D32" s="64">
        <f>C8*30.4*3.5</f>
        <v>1064</v>
      </c>
      <c r="E32" s="56">
        <v>1.5</v>
      </c>
      <c r="F32" s="52">
        <f t="shared" si="1"/>
        <v>1596</v>
      </c>
      <c r="G32" s="53">
        <f t="shared" si="0"/>
        <v>4.6941176470588237</v>
      </c>
    </row>
    <row r="33" spans="1:7" ht="14.4">
      <c r="A33" s="25" t="s">
        <v>41</v>
      </c>
      <c r="B33" s="32" t="s">
        <v>42</v>
      </c>
      <c r="C33" s="49" t="s">
        <v>25</v>
      </c>
      <c r="D33" s="49">
        <v>1</v>
      </c>
      <c r="E33" s="38">
        <v>68</v>
      </c>
      <c r="F33" s="52">
        <f t="shared" si="1"/>
        <v>68</v>
      </c>
      <c r="G33" s="53">
        <f t="shared" si="0"/>
        <v>0.2</v>
      </c>
    </row>
    <row r="34" spans="1:7" ht="14.4">
      <c r="B34" s="48" t="s">
        <v>43</v>
      </c>
      <c r="C34" s="49" t="s">
        <v>25</v>
      </c>
      <c r="D34" s="50">
        <v>1</v>
      </c>
      <c r="E34" s="35">
        <v>200</v>
      </c>
      <c r="F34" s="52">
        <f t="shared" si="1"/>
        <v>200</v>
      </c>
      <c r="G34" s="53">
        <f t="shared" si="0"/>
        <v>0.58823529411764708</v>
      </c>
    </row>
    <row r="35" spans="1:7" ht="14.4">
      <c r="A35" s="25" t="s">
        <v>44</v>
      </c>
      <c r="B35" s="65"/>
      <c r="C35" s="66" t="s">
        <v>39</v>
      </c>
      <c r="D35" s="67">
        <f>(C8*30.4*1)/60</f>
        <v>5.0666666666666664</v>
      </c>
      <c r="E35" s="35">
        <v>300</v>
      </c>
      <c r="F35" s="52">
        <f>D35*E35</f>
        <v>1520</v>
      </c>
      <c r="G35" s="53">
        <f t="shared" si="0"/>
        <v>4.4705882352941178</v>
      </c>
    </row>
    <row r="36" spans="1:7" ht="15" thickBot="1">
      <c r="A36" s="21" t="s">
        <v>45</v>
      </c>
      <c r="B36" s="68"/>
      <c r="C36" s="69"/>
      <c r="D36" s="70"/>
      <c r="E36" s="71"/>
      <c r="F36" s="72">
        <f>SUM(F19:F35)</f>
        <v>21328.657750000002</v>
      </c>
      <c r="G36" s="73">
        <f>F36/$C$9</f>
        <v>62.731346323529415</v>
      </c>
    </row>
    <row r="37" spans="1:7" ht="14.4">
      <c r="F37" s="75"/>
      <c r="G37" s="44"/>
    </row>
    <row r="38" spans="1:7" s="42" customFormat="1" ht="15" thickBot="1">
      <c r="A38" s="76" t="s">
        <v>46</v>
      </c>
      <c r="B38" s="22"/>
      <c r="C38" s="77"/>
      <c r="D38" s="77"/>
      <c r="E38" s="78"/>
      <c r="F38" s="79">
        <f>F16-F36</f>
        <v>-1589.3577500000029</v>
      </c>
      <c r="G38" s="80">
        <f t="shared" si="0"/>
        <v>-4.6745816176470676</v>
      </c>
    </row>
    <row r="39" spans="1:7" s="17" customFormat="1" ht="14.4">
      <c r="C39" s="19"/>
      <c r="D39" s="19"/>
      <c r="E39" s="19"/>
      <c r="F39" s="81"/>
      <c r="G39" s="44"/>
    </row>
    <row r="40" spans="1:7" s="17" customFormat="1" ht="14.4">
      <c r="C40" s="19"/>
      <c r="D40" s="19"/>
      <c r="E40" s="19"/>
      <c r="F40" s="81"/>
      <c r="G40" s="44"/>
    </row>
    <row r="41" spans="1:7" ht="15" thickBot="1">
      <c r="A41" s="21" t="s">
        <v>47</v>
      </c>
      <c r="B41" s="22"/>
      <c r="C41" s="23" t="s">
        <v>9</v>
      </c>
      <c r="D41" s="23" t="s">
        <v>10</v>
      </c>
      <c r="E41" s="23" t="s">
        <v>11</v>
      </c>
      <c r="F41" s="24" t="s">
        <v>12</v>
      </c>
      <c r="G41" s="24" t="s">
        <v>13</v>
      </c>
    </row>
    <row r="42" spans="1:7" ht="14.4" hidden="1">
      <c r="B42" s="4" t="s">
        <v>48</v>
      </c>
      <c r="C42" s="82"/>
      <c r="D42" s="83"/>
      <c r="E42" s="83"/>
      <c r="F42" s="84">
        <f>PRODUCT(D42*E42)</f>
        <v>0</v>
      </c>
      <c r="G42" s="51">
        <f t="shared" si="0"/>
        <v>0</v>
      </c>
    </row>
    <row r="43" spans="1:7" ht="14.4">
      <c r="A43" s="25" t="s">
        <v>49</v>
      </c>
      <c r="B43" s="31" t="s">
        <v>50</v>
      </c>
      <c r="C43" s="49" t="s">
        <v>51</v>
      </c>
      <c r="D43" s="50">
        <v>25</v>
      </c>
      <c r="E43" s="85">
        <v>27000</v>
      </c>
      <c r="F43" s="86">
        <f>(E43/D43)*(C8/12)</f>
        <v>900</v>
      </c>
      <c r="G43" s="87">
        <f t="shared" si="0"/>
        <v>2.6470588235294117</v>
      </c>
    </row>
    <row r="44" spans="1:7" ht="14.4">
      <c r="B44" s="31" t="s">
        <v>52</v>
      </c>
      <c r="C44" s="49"/>
      <c r="D44" s="88">
        <v>0.04</v>
      </c>
      <c r="E44" s="85">
        <v>27000</v>
      </c>
      <c r="F44" s="86">
        <f>((E44/2)*D44)*(C8/12)</f>
        <v>450</v>
      </c>
      <c r="G44" s="87">
        <f t="shared" si="0"/>
        <v>1.3235294117647058</v>
      </c>
    </row>
    <row r="45" spans="1:7" ht="14.4">
      <c r="A45" s="25" t="s">
        <v>53</v>
      </c>
      <c r="B45" s="31" t="s">
        <v>54</v>
      </c>
      <c r="C45" s="49" t="s">
        <v>25</v>
      </c>
      <c r="D45" s="50">
        <v>1</v>
      </c>
      <c r="E45" s="89">
        <v>110</v>
      </c>
      <c r="F45" s="86">
        <f>PRODUCT(D45*E45)</f>
        <v>110</v>
      </c>
      <c r="G45" s="87">
        <f t="shared" si="0"/>
        <v>0.3235294117647059</v>
      </c>
    </row>
    <row r="46" spans="1:7" ht="14.4">
      <c r="B46" s="31" t="s">
        <v>55</v>
      </c>
      <c r="C46" s="63">
        <f>0.55*C47</f>
        <v>0.45833333333333337</v>
      </c>
      <c r="D46" s="90">
        <f>SUM(F23:F34,F42:F45,F35)</f>
        <v>13355.23</v>
      </c>
      <c r="E46" s="91">
        <v>0.04</v>
      </c>
      <c r="F46" s="86">
        <f>E46*(D46*C46)</f>
        <v>244.84588333333335</v>
      </c>
      <c r="G46" s="87">
        <f t="shared" si="0"/>
        <v>0.72013495098039215</v>
      </c>
    </row>
    <row r="47" spans="1:7" ht="14.4">
      <c r="B47" s="31" t="s">
        <v>56</v>
      </c>
      <c r="C47" s="92">
        <f>C8/12</f>
        <v>0.83333333333333337</v>
      </c>
      <c r="D47" s="90">
        <f>F20+F21+F22</f>
        <v>9433.4277500000007</v>
      </c>
      <c r="E47" s="91">
        <v>0.04</v>
      </c>
      <c r="F47" s="86">
        <f>E47*(D47*C47)</f>
        <v>314.44759166666671</v>
      </c>
      <c r="G47" s="87">
        <f t="shared" si="0"/>
        <v>0.92484585784313733</v>
      </c>
    </row>
    <row r="48" spans="1:7" s="42" customFormat="1" ht="15" thickBot="1">
      <c r="A48" s="21" t="s">
        <v>57</v>
      </c>
      <c r="B48" s="22"/>
      <c r="C48" s="69"/>
      <c r="D48" s="70"/>
      <c r="E48" s="93"/>
      <c r="F48" s="94">
        <f>SUM(F42:F47)</f>
        <v>2019.2934750000002</v>
      </c>
      <c r="G48" s="95">
        <f t="shared" si="0"/>
        <v>5.9390984558823536</v>
      </c>
    </row>
    <row r="49" spans="1:7" s="17" customFormat="1" ht="14.4">
      <c r="A49" s="4"/>
      <c r="B49" s="4"/>
      <c r="C49" s="74"/>
      <c r="D49" s="74"/>
      <c r="E49" s="74"/>
      <c r="F49" s="75"/>
      <c r="G49" s="44"/>
    </row>
    <row r="50" spans="1:7" s="17" customFormat="1" ht="15" thickBot="1">
      <c r="A50" s="76" t="s">
        <v>58</v>
      </c>
      <c r="B50" s="22"/>
      <c r="C50" s="77"/>
      <c r="D50" s="77"/>
      <c r="E50" s="77"/>
      <c r="F50" s="79">
        <f>F38-F48</f>
        <v>-3608.6512250000033</v>
      </c>
      <c r="G50" s="80">
        <f t="shared" si="0"/>
        <v>-10.613680073529421</v>
      </c>
    </row>
    <row r="51" spans="1:7" ht="14.4">
      <c r="A51" s="17"/>
      <c r="B51" s="17"/>
      <c r="C51" s="19"/>
      <c r="D51" s="19"/>
      <c r="E51" s="19"/>
      <c r="F51" s="81"/>
      <c r="G51" s="44"/>
    </row>
    <row r="52" spans="1:7" ht="14.4">
      <c r="D52" s="4"/>
      <c r="E52" s="4"/>
      <c r="F52" s="4"/>
      <c r="G52" s="44"/>
    </row>
    <row r="53" spans="1:7" ht="15" thickBot="1">
      <c r="A53" s="21" t="s">
        <v>59</v>
      </c>
      <c r="B53" s="22"/>
      <c r="C53" s="23" t="s">
        <v>9</v>
      </c>
      <c r="D53" s="23" t="s">
        <v>10</v>
      </c>
      <c r="E53" s="23" t="s">
        <v>11</v>
      </c>
      <c r="F53" s="24" t="s">
        <v>12</v>
      </c>
      <c r="G53" s="24" t="s">
        <v>13</v>
      </c>
    </row>
    <row r="54" spans="1:7" ht="14.4">
      <c r="A54" s="25"/>
      <c r="B54" s="31" t="s">
        <v>60</v>
      </c>
      <c r="C54" s="96" t="s">
        <v>61</v>
      </c>
      <c r="D54" s="97">
        <v>0</v>
      </c>
      <c r="E54" s="98">
        <f>143.51*C5</f>
        <v>1655.0290749999999</v>
      </c>
      <c r="F54" s="99">
        <f>PRODUCT(D54*E54)</f>
        <v>0</v>
      </c>
      <c r="G54" s="99">
        <f t="shared" si="0"/>
        <v>0</v>
      </c>
    </row>
    <row r="55" spans="1:7" ht="14.4">
      <c r="A55" s="31"/>
      <c r="B55" s="31" t="s">
        <v>62</v>
      </c>
      <c r="C55" s="49" t="s">
        <v>61</v>
      </c>
      <c r="D55" s="50">
        <v>0</v>
      </c>
      <c r="E55" s="100">
        <v>0</v>
      </c>
      <c r="F55" s="99">
        <f>PRODUCT(D55*E55)</f>
        <v>0</v>
      </c>
      <c r="G55" s="99">
        <f t="shared" si="0"/>
        <v>0</v>
      </c>
    </row>
    <row r="56" spans="1:7" ht="14.4">
      <c r="A56" s="25"/>
      <c r="B56" s="31" t="s">
        <v>63</v>
      </c>
      <c r="C56" s="49" t="s">
        <v>61</v>
      </c>
      <c r="D56" s="50">
        <v>0</v>
      </c>
      <c r="E56" s="101">
        <v>1850</v>
      </c>
      <c r="F56" s="99">
        <f>PRODUCT(D56*E56)</f>
        <v>0</v>
      </c>
      <c r="G56" s="99">
        <f t="shared" si="0"/>
        <v>0</v>
      </c>
    </row>
    <row r="57" spans="1:7" ht="14.4">
      <c r="A57" s="25"/>
      <c r="B57" s="31" t="s">
        <v>64</v>
      </c>
      <c r="C57" s="49" t="s">
        <v>61</v>
      </c>
      <c r="D57" s="50">
        <v>0</v>
      </c>
      <c r="E57" s="101">
        <v>3950</v>
      </c>
      <c r="F57" s="99">
        <f>PRODUCT(D57*E57)</f>
        <v>0</v>
      </c>
      <c r="G57" s="99">
        <f t="shared" si="0"/>
        <v>0</v>
      </c>
    </row>
    <row r="58" spans="1:7" ht="15" thickBot="1">
      <c r="A58" s="21" t="s">
        <v>65</v>
      </c>
      <c r="B58" s="22"/>
      <c r="C58" s="77"/>
      <c r="D58" s="77"/>
      <c r="E58" s="77"/>
      <c r="F58" s="102">
        <f>SUM(F54:F57)</f>
        <v>0</v>
      </c>
      <c r="G58" s="102">
        <f>SUM(G54:G57)</f>
        <v>0</v>
      </c>
    </row>
    <row r="60" spans="1:7" ht="15" thickBot="1">
      <c r="A60" s="104" t="s">
        <v>66</v>
      </c>
      <c r="B60" s="22"/>
      <c r="C60" s="77"/>
      <c r="D60" s="77"/>
      <c r="E60" s="77"/>
      <c r="F60" s="79">
        <f>F50+F58</f>
        <v>-3608.6512250000033</v>
      </c>
      <c r="G60" s="80">
        <f>F60/$C$9</f>
        <v>-10.613680073529421</v>
      </c>
    </row>
    <row r="64" spans="1:7" ht="14.4">
      <c r="A64" s="105" t="s">
        <v>67</v>
      </c>
      <c r="B64" s="65"/>
      <c r="C64" s="106" t="s">
        <v>68</v>
      </c>
      <c r="D64" s="107" t="s">
        <v>69</v>
      </c>
    </row>
    <row r="65" spans="1:4" ht="14.4">
      <c r="A65" s="108" t="str">
        <f>A20</f>
        <v>Inköp djur</v>
      </c>
      <c r="C65" s="109">
        <f>SUM(F20:F22)</f>
        <v>9433.4277500000007</v>
      </c>
      <c r="D65" s="109">
        <f>SUM(G20:G22)</f>
        <v>27.745375735294118</v>
      </c>
    </row>
    <row r="66" spans="1:4" ht="14.4">
      <c r="A66" s="108" t="str">
        <f>A23</f>
        <v>Foder</v>
      </c>
      <c r="C66" s="109">
        <f>SUM(F23:F30)</f>
        <v>7325.63</v>
      </c>
      <c r="D66" s="109">
        <f>SUM(G23:G30)</f>
        <v>21.545970588235292</v>
      </c>
    </row>
    <row r="67" spans="1:4" ht="14.4">
      <c r="A67" s="108" t="str">
        <f>A31</f>
        <v>Foderberedning</v>
      </c>
      <c r="C67" s="109">
        <f>SUM(F31)</f>
        <v>1185.6000000000001</v>
      </c>
      <c r="D67" s="109">
        <f>SUM(G31)</f>
        <v>3.487058823529412</v>
      </c>
    </row>
    <row r="68" spans="1:4" ht="14.4">
      <c r="A68" s="108" t="str">
        <f>A32</f>
        <v>Strö</v>
      </c>
      <c r="C68" s="109">
        <f>SUM(F32)</f>
        <v>1596</v>
      </c>
      <c r="D68" s="109">
        <f>SUM(G32)</f>
        <v>4.6941176470588237</v>
      </c>
    </row>
    <row r="69" spans="1:4" ht="14.4">
      <c r="A69" s="108" t="str">
        <f>A33</f>
        <v>Diverse</v>
      </c>
      <c r="C69" s="109">
        <f>SUM(F33:F34)</f>
        <v>268</v>
      </c>
      <c r="D69" s="109">
        <f>SUM(G33:G34)</f>
        <v>0.78823529411764715</v>
      </c>
    </row>
    <row r="70" spans="1:4" ht="14.4">
      <c r="A70" s="108" t="str">
        <f>A35</f>
        <v>Arbete</v>
      </c>
      <c r="C70" s="109">
        <f>SUM(F35)</f>
        <v>1520</v>
      </c>
      <c r="D70" s="109">
        <f>SUM(G35)</f>
        <v>4.4705882352941178</v>
      </c>
    </row>
    <row r="71" spans="1:4" ht="14.4">
      <c r="A71" s="108" t="str">
        <f>A43</f>
        <v>Byggnader</v>
      </c>
      <c r="C71" s="109">
        <f>SUM(F43:F44)</f>
        <v>1350</v>
      </c>
      <c r="D71" s="109">
        <f>SUM(G43:G44)</f>
        <v>3.9705882352941178</v>
      </c>
    </row>
    <row r="72" spans="1:4" ht="14.4">
      <c r="A72" s="105" t="str">
        <f>A45</f>
        <v>Ränta</v>
      </c>
      <c r="B72" s="65"/>
      <c r="C72" s="110">
        <f>SUM(F45:F47)</f>
        <v>669.29347500000006</v>
      </c>
      <c r="D72" s="110">
        <f>SUM(G45:G47)</f>
        <v>1.9685102205882354</v>
      </c>
    </row>
    <row r="73" spans="1:4" ht="14.4">
      <c r="A73" s="108"/>
      <c r="B73" s="111" t="s">
        <v>70</v>
      </c>
      <c r="C73" s="112">
        <f>SUM(C65:C72)</f>
        <v>23347.951224999997</v>
      </c>
      <c r="D73" s="112">
        <f>SUM(D65:D72)</f>
        <v>68.670444779411753</v>
      </c>
    </row>
    <row r="76" spans="1:4">
      <c r="D76" s="113"/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9" orientation="portrait" r:id="rId1"/>
  <headerFooter alignWithMargins="0">
    <oddHeader>&amp;L&amp;G&amp;R&amp;G</oddHeader>
    <oddFooter>&amp;C&amp;"-,Normal"Gård &amp; Djurhälsan – Växel: 0771-21 65 00 – www.gårdochdjurhälsan.se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SQMHNX6NJ7S5-1457374313-16495</_dlc_DocId>
    <_dlc_DocIdUrl xmlns="dc9bf6b0-c037-4e8f-b370-165ec66c887d">
      <Url>https://svdhv.sharepoint.com/Intranet/arbetsrum/A15/_layouts/15/DocIdRedir.aspx?ID=SQMHNX6NJ7S5-1457374313-16495</Url>
      <Description>SQMHNX6NJ7S5-1457374313-16495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1F1092-96F6-4F7A-A014-856098DFD72D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</ds:schemaRefs>
</ds:datastoreItem>
</file>

<file path=customXml/itemProps2.xml><?xml version="1.0" encoding="utf-8"?>
<ds:datastoreItem xmlns:ds="http://schemas.openxmlformats.org/officeDocument/2006/customXml" ds:itemID="{AAE3BD8B-7A30-4489-9581-80DF044D0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5610AE-77D3-4F00-801D-B7A4AE7F2F4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5920DC-9D14-43A3-9BA2-16534E1C23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Lätt köttrastjur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2024-05-23T12:40:52Z</cp:lastPrinted>
  <dcterms:created xsi:type="dcterms:W3CDTF">2024-05-23T12:40:44Z</dcterms:created>
  <dcterms:modified xsi:type="dcterms:W3CDTF">2024-07-05T08:33:49Z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61c887a8-dbf7-4278-8267-54c6e58b0f17</vt:lpwstr>
  </property>
  <property fmtid="{D5CDD505-2E9C-101B-9397-08002B2CF9AE}" pid="4" name="MediaServiceImageTags">
    <vt:lpwstr/>
  </property>
</Properties>
</file>