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892" documentId="8_{876B3D91-5BBE-425E-B52A-150E165FAACF}" xr6:coauthVersionLast="47" xr6:coauthVersionMax="47" xr10:uidLastSave="{A1245288-D8C0-457F-AB48-792141002D39}"/>
  <bookViews>
    <workbookView xWindow="-108" yWindow="-108" windowWidth="23256" windowHeight="12456" xr2:uid="{00000000-000D-0000-FFFF-FFFF00000000}"/>
  </bookViews>
  <sheets>
    <sheet name="Diko vår" sheetId="11" r:id="rId1"/>
    <sheet name="Diko höst" sheetId="12" r:id="rId2"/>
    <sheet name="Blad1" sheetId="1" state="hidden" r:id="rId3"/>
  </sheets>
  <externalReferences>
    <externalReference r:id="rId4"/>
  </externalReferences>
  <definedNames>
    <definedName name="stödområde">Blad1!$A$3:$A$14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7" i="11" l="1"/>
  <c r="A66" i="11"/>
  <c r="A65" i="11"/>
  <c r="A64" i="11"/>
  <c r="A63" i="11"/>
  <c r="A62" i="11"/>
  <c r="A61" i="11"/>
  <c r="A60" i="11"/>
  <c r="F25" i="11"/>
  <c r="G25" i="11" s="1"/>
  <c r="D62" i="11" s="1"/>
  <c r="G24" i="12"/>
  <c r="F25" i="12"/>
  <c r="C62" i="12" s="1"/>
  <c r="F24" i="12"/>
  <c r="A62" i="12"/>
  <c r="A67" i="12"/>
  <c r="A66" i="12"/>
  <c r="A65" i="12"/>
  <c r="A64" i="12"/>
  <c r="A63" i="12"/>
  <c r="A61" i="12"/>
  <c r="A60" i="12"/>
  <c r="G25" i="12" l="1"/>
  <c r="D62" i="12" s="1"/>
  <c r="C62" i="11"/>
  <c r="E14" i="12" l="1"/>
  <c r="E13" i="12"/>
  <c r="E13" i="11"/>
  <c r="E14" i="11"/>
  <c r="E48" i="11"/>
  <c r="F48" i="11" s="1"/>
  <c r="G48" i="11" s="1"/>
  <c r="E48" i="12" l="1"/>
  <c r="F48" i="12" s="1"/>
  <c r="G48" i="12" s="1"/>
  <c r="F24" i="11"/>
  <c r="G24" i="11" s="1"/>
  <c r="D11" i="12" l="1"/>
  <c r="F11" i="12" s="1"/>
  <c r="G11" i="12" s="1"/>
  <c r="D11" i="11"/>
  <c r="F11" i="11" s="1"/>
  <c r="G11" i="11" s="1"/>
  <c r="F38" i="12" l="1"/>
  <c r="F38" i="11"/>
  <c r="F51" i="12"/>
  <c r="G51" i="12" s="1"/>
  <c r="F50" i="12"/>
  <c r="F49" i="12"/>
  <c r="F37" i="12"/>
  <c r="G37" i="12" s="1"/>
  <c r="F36" i="12"/>
  <c r="F35" i="12"/>
  <c r="F29" i="12"/>
  <c r="C65" i="12" s="1"/>
  <c r="F28" i="12"/>
  <c r="G28" i="12" s="1"/>
  <c r="F27" i="12"/>
  <c r="F26" i="12"/>
  <c r="F23" i="12"/>
  <c r="G23" i="12" s="1"/>
  <c r="F22" i="12"/>
  <c r="G22" i="12" s="1"/>
  <c r="F21" i="12"/>
  <c r="G21" i="12" s="1"/>
  <c r="F20" i="12"/>
  <c r="G20" i="12" s="1"/>
  <c r="F19" i="12"/>
  <c r="F14" i="12"/>
  <c r="G14" i="12" s="1"/>
  <c r="E12" i="12"/>
  <c r="F12" i="12" s="1"/>
  <c r="G12" i="12" s="1"/>
  <c r="F10" i="12"/>
  <c r="F29" i="11"/>
  <c r="G29" i="11" l="1"/>
  <c r="D65" i="11" s="1"/>
  <c r="C65" i="11"/>
  <c r="G26" i="12"/>
  <c r="D63" i="12" s="1"/>
  <c r="C63" i="12"/>
  <c r="G27" i="12"/>
  <c r="C64" i="12"/>
  <c r="G38" i="12"/>
  <c r="C61" i="12"/>
  <c r="C66" i="12"/>
  <c r="D39" i="12"/>
  <c r="F39" i="12" s="1"/>
  <c r="G39" i="12" s="1"/>
  <c r="G10" i="12"/>
  <c r="F52" i="12"/>
  <c r="G52" i="12" s="1"/>
  <c r="G19" i="12"/>
  <c r="D61" i="12" s="1"/>
  <c r="F13" i="12"/>
  <c r="G13" i="12" s="1"/>
  <c r="G50" i="12"/>
  <c r="D64" i="12"/>
  <c r="G29" i="12"/>
  <c r="D65" i="12" s="1"/>
  <c r="G36" i="12"/>
  <c r="D66" i="12" s="1"/>
  <c r="G49" i="12"/>
  <c r="F15" i="12" l="1"/>
  <c r="G38" i="11"/>
  <c r="F36" i="11"/>
  <c r="C66" i="11" s="1"/>
  <c r="F37" i="11"/>
  <c r="G37" i="11" s="1"/>
  <c r="F35" i="11"/>
  <c r="F28" i="11"/>
  <c r="G28" i="11" s="1"/>
  <c r="F27" i="11"/>
  <c r="F26" i="11"/>
  <c r="C63" i="11" s="1"/>
  <c r="F23" i="11"/>
  <c r="G23" i="11" s="1"/>
  <c r="F22" i="11"/>
  <c r="G22" i="11" s="1"/>
  <c r="F21" i="11"/>
  <c r="G21" i="11" s="1"/>
  <c r="F20" i="11"/>
  <c r="G20" i="11" s="1"/>
  <c r="F19" i="11"/>
  <c r="F51" i="11"/>
  <c r="G51" i="11" s="1"/>
  <c r="F50" i="11"/>
  <c r="G50" i="11" s="1"/>
  <c r="F49" i="11"/>
  <c r="F14" i="11"/>
  <c r="G14" i="11" s="1"/>
  <c r="E12" i="11"/>
  <c r="F12" i="11" s="1"/>
  <c r="G12" i="11" s="1"/>
  <c r="F10" i="11"/>
  <c r="G27" i="11" l="1"/>
  <c r="D64" i="11" s="1"/>
  <c r="C64" i="11"/>
  <c r="C61" i="11"/>
  <c r="D39" i="11"/>
  <c r="F39" i="11" s="1"/>
  <c r="G15" i="12"/>
  <c r="G36" i="11"/>
  <c r="D66" i="11" s="1"/>
  <c r="G26" i="11"/>
  <c r="D63" i="11" s="1"/>
  <c r="G10" i="11"/>
  <c r="G49" i="11"/>
  <c r="F52" i="11"/>
  <c r="G52" i="11" s="1"/>
  <c r="G19" i="11"/>
  <c r="D61" i="11" s="1"/>
  <c r="F13" i="11"/>
  <c r="F15" i="11" s="1"/>
  <c r="G39" i="11" l="1"/>
  <c r="G13" i="11"/>
  <c r="G15" i="11" l="1"/>
  <c r="F18" i="11" l="1"/>
  <c r="C60" i="11" s="1"/>
  <c r="D40" i="11"/>
  <c r="F40" i="11" s="1"/>
  <c r="C67" i="11" s="1"/>
  <c r="D40" i="12"/>
  <c r="C68" i="11" l="1"/>
  <c r="G18" i="11"/>
  <c r="D60" i="11" s="1"/>
  <c r="F30" i="11"/>
  <c r="G30" i="11" s="1"/>
  <c r="G32" i="11" s="1"/>
  <c r="G40" i="11"/>
  <c r="D67" i="11" s="1"/>
  <c r="F41" i="11"/>
  <c r="F18" i="12"/>
  <c r="F30" i="12" s="1"/>
  <c r="G30" i="12" s="1"/>
  <c r="F40" i="12"/>
  <c r="D68" i="11" l="1"/>
  <c r="F32" i="11"/>
  <c r="F45" i="11"/>
  <c r="F54" i="11" s="1"/>
  <c r="F41" i="12"/>
  <c r="G41" i="12" s="1"/>
  <c r="C67" i="12"/>
  <c r="C60" i="12"/>
  <c r="G41" i="11"/>
  <c r="F43" i="11"/>
  <c r="G43" i="11" s="1"/>
  <c r="G18" i="12"/>
  <c r="D60" i="12" s="1"/>
  <c r="G40" i="12"/>
  <c r="D67" i="12" s="1"/>
  <c r="C68" i="12" l="1"/>
  <c r="F45" i="12"/>
  <c r="F56" i="12" s="1"/>
  <c r="F32" i="12"/>
  <c r="F43" i="12" s="1"/>
  <c r="F54" i="12" s="1"/>
  <c r="D68" i="12"/>
  <c r="G32" i="12"/>
  <c r="G43" i="12" s="1"/>
  <c r="G54" i="1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tc={516CCE1A-6025-4359-AF88-6C6F68AF3E80}</author>
    <author>tc={BCEE5526-779D-4959-B062-0792FC953D14}</author>
    <author>tc={71FCB9F9-4EDE-42EC-B510-19BC17231B09}</author>
    <author>tc={410AA63F-5AEE-4F92-ABB2-39299C595E3E}</author>
    <author>tc={9EFF8BD8-9714-41C1-B087-9B692BD5EB9C}</author>
    <author>tc={4E4C36A0-3492-44F0-A3A0-6735CF638AAA}</author>
  </authors>
  <commentList>
    <comment ref="E13" authorId="0" shapeId="0" xr:uid="{516CCE1A-6025-4359-AF88-6C6F68AF3E80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</t>
      </text>
    </comment>
    <comment ref="E14" authorId="1" shapeId="0" xr:uid="{BCEE5526-779D-4959-B062-0792FC953D14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8" authorId="2" shapeId="0" xr:uid="{71FCB9F9-4EDE-42EC-B510-19BC17231B09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9" authorId="3" shapeId="0" xr:uid="{410AA63F-5AEE-4F92-ABB2-39299C595E3E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0" authorId="4" shapeId="0" xr:uid="{9EFF8BD8-9714-41C1-B087-9B692BD5EB9C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1" authorId="5" shapeId="0" xr:uid="{4E4C36A0-3492-44F0-A3A0-6735CF638AAA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tc={5D1567F2-9156-4702-978A-DFD5A0653441}</author>
    <author>tc={66D20C0C-CC61-4315-AECF-00EEBE3909B6}</author>
    <author>tc={AEC7F1D7-3576-4103-89ED-D6087981E8DB}</author>
    <author>tc={BF1B0516-D75F-437F-9E33-48BC7AE57B39}</author>
    <author>tc={927ED8E1-5C8C-45C1-B4D1-1B3B27C9086D}</author>
    <author>tc={4FF30291-362C-48E3-B32F-7019CE37BF08}</author>
  </authors>
  <commentList>
    <comment ref="E13" authorId="0" shapeId="0" xr:uid="{5D1567F2-9156-4702-978A-DFD5A0653441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Nötkreaturstödet är 90,55 euro per djurenhet för 2023. </t>
      </text>
    </comment>
    <comment ref="E14" authorId="1" shapeId="0" xr:uid="{66D20C0C-CC61-4315-AECF-00EEBE3909B6}">
      <text>
        <t>[Trådad kommentar]
I din version av Excel kan du läsa den här trådade kommentaren, men eventuella ändringar i den tas bort om filen öppnas i en senare version av Excel. Läs mer: https://go.microsoft.com/fwlink/?linkid=870924
Kommentar:
    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>
      </text>
    </comment>
    <comment ref="E48" authorId="2" shapeId="0" xr:uid="{AEC7F1D7-3576-4103-89ED-D6087981E8DB}">
      <text>
        <t xml:space="preserve">[Trådad kommentar]
I din version av Excel kan du läsa den här trådade kommentaren, men eventuella ändringar i den tas bort om filen öppnas i en senare version av Excel. Läs mer: https://go.microsoft.com/fwlink/?linkid=870924
Kommentar:
    Gårdsstödet är 143,51 euro per hektar för 2023. </t>
      </text>
    </comment>
    <comment ref="E49" authorId="3" shapeId="0" xr:uid="{BF1B0516-D75F-437F-9E33-48BC7AE57B39}">
      <text>
        <t>[Trådad kommentar]
I din version av Excel kan du läsa den här trådade kommentaren, men eventuella ändringar i den tas bort om filen öppnas i en senare version av Excel. Läs mer: https://go.microsoft.com/fwlink/?linkid=870924
Kommentar:
    Olika belopp beroende på område. Läs mer på https://jordbruksverket.se/stod/jordbruk-tradgard-och-rennaring/jordbruksmark/kompensationsstod</t>
      </text>
    </comment>
    <comment ref="E50" authorId="4" shapeId="0" xr:uid="{927ED8E1-5C8C-45C1-B4D1-1B3B27C9086D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1 850 kr/ha för 2023</t>
      </text>
    </comment>
    <comment ref="E51" authorId="5" shapeId="0" xr:uid="{4FF30291-362C-48E3-B32F-7019CE37BF08}">
      <text>
        <t>[Trådad kommentar]
I din version av Excel kan du läsa den här trådade kommentaren, men eventuella ändringar i den tas bort om filen öppnas i en senare version av Excel. Läs mer: https://go.microsoft.com/fwlink/?linkid=870924
Kommentar:
    Ersättningen är 3 950 kr/ha för 2023</t>
      </text>
    </comment>
  </commentList>
</comments>
</file>

<file path=xl/sharedStrings.xml><?xml version="1.0" encoding="utf-8"?>
<sst xmlns="http://schemas.openxmlformats.org/spreadsheetml/2006/main" count="209" uniqueCount="79">
  <si>
    <t>Rekryteringskviga</t>
  </si>
  <si>
    <t>Euro</t>
  </si>
  <si>
    <t>Stödområde</t>
  </si>
  <si>
    <t>Intäkter:</t>
  </si>
  <si>
    <t>Enhet</t>
  </si>
  <si>
    <t>Kvant.</t>
  </si>
  <si>
    <t>Pris</t>
  </si>
  <si>
    <t>Värde</t>
  </si>
  <si>
    <t>kg</t>
  </si>
  <si>
    <t>Stöd</t>
  </si>
  <si>
    <t>Nötkreaturstöd</t>
  </si>
  <si>
    <t>Summa intäkter</t>
  </si>
  <si>
    <t>Särkostnader 1:</t>
  </si>
  <si>
    <t>Inköp djur</t>
  </si>
  <si>
    <t>Foder</t>
  </si>
  <si>
    <t>Grovfoder</t>
  </si>
  <si>
    <t>kg ts</t>
  </si>
  <si>
    <t>Bete</t>
  </si>
  <si>
    <t>Foderhalm</t>
  </si>
  <si>
    <t>Spannmål</t>
  </si>
  <si>
    <t xml:space="preserve">kg </t>
  </si>
  <si>
    <t>Mineraler</t>
  </si>
  <si>
    <t>Strö</t>
  </si>
  <si>
    <t>Diverse</t>
  </si>
  <si>
    <t>Tjur, semin</t>
  </si>
  <si>
    <t>st</t>
  </si>
  <si>
    <t>Arbete</t>
  </si>
  <si>
    <t>h</t>
  </si>
  <si>
    <t>Summa särkostnader 1</t>
  </si>
  <si>
    <t>Täckningsbidrag 1</t>
  </si>
  <si>
    <t>Särkostnader 2</t>
  </si>
  <si>
    <t>Certifieringskostnad</t>
  </si>
  <si>
    <t>Byggnader</t>
  </si>
  <si>
    <t>år</t>
  </si>
  <si>
    <t>Underhåll byggnader</t>
  </si>
  <si>
    <t>Ränta rörelsekapital</t>
  </si>
  <si>
    <t>Ränta djurkapital</t>
  </si>
  <si>
    <t>Summa särkostnader 2</t>
  </si>
  <si>
    <t>Täckningsbidrag 2</t>
  </si>
  <si>
    <t>Miljöers. bete m allmänna värden</t>
  </si>
  <si>
    <t>Miljöers. bete m särskilda värden</t>
  </si>
  <si>
    <t>Värde, kr</t>
  </si>
  <si>
    <t>Avvänjningsvikt, kvigkalv</t>
  </si>
  <si>
    <t>kr/kg</t>
  </si>
  <si>
    <t>Avvänjningsvikt, tjurkalv</t>
  </si>
  <si>
    <t>Kr/kg kalv</t>
  </si>
  <si>
    <t>Utslagsko (20 % rekr)</t>
  </si>
  <si>
    <t>Eko-tillägg</t>
  </si>
  <si>
    <t>Avvand kalv</t>
  </si>
  <si>
    <t>Ränta</t>
  </si>
  <si>
    <t>Produktionskostnad kr/kg kalv exkl stöd</t>
  </si>
  <si>
    <t>Produktionskostnad kr/kg kalv inkl stöd</t>
  </si>
  <si>
    <t>stödområden</t>
  </si>
  <si>
    <t>Komp. bidrag vall &amp; bete</t>
  </si>
  <si>
    <t>2a</t>
  </si>
  <si>
    <t>2b</t>
  </si>
  <si>
    <t>4a</t>
  </si>
  <si>
    <t>4b</t>
  </si>
  <si>
    <t>5a</t>
  </si>
  <si>
    <t>5b</t>
  </si>
  <si>
    <t>5c</t>
  </si>
  <si>
    <t>5m</t>
  </si>
  <si>
    <t>PRODUKTIONSGRENSKALKYL - Diko, vårkalvande</t>
  </si>
  <si>
    <t>Salt</t>
  </si>
  <si>
    <t>PRODUKTIONSGRENSKALKYL - Diko, höstkalvande</t>
  </si>
  <si>
    <t>Summa stöd</t>
  </si>
  <si>
    <t>SUMMA</t>
  </si>
  <si>
    <t>Gårdsstöd, kompensationsstöd &amp; miljöersättningar</t>
  </si>
  <si>
    <t>Gårdsstöd</t>
  </si>
  <si>
    <t>hektar</t>
  </si>
  <si>
    <t>Kompensationsstöd</t>
  </si>
  <si>
    <t>djurenhet</t>
  </si>
  <si>
    <t>Ersättning för ekologisk produktion</t>
  </si>
  <si>
    <t>Avskrivning byggnad &amp; byggnadsinventarier</t>
  </si>
  <si>
    <t>Ränta byggnader</t>
  </si>
  <si>
    <t>Täckningsbidrag 2 inkl stöd</t>
  </si>
  <si>
    <t>Diko, höstkalvande</t>
  </si>
  <si>
    <t>Foderberedning</t>
  </si>
  <si>
    <t>Diko, vårkalvande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</si>
</sst>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#,##0\ &quot;kr&quot;;\-#,##0\ &quot;kr&quot;"/>
    <numFmt numFmtId="44" formatCode="_-* #,##0.00\ &quot;kr&quot;_-;\-* #,##0.00\ &quot;kr&quot;_-;_-* &quot;-&quot;??\ &quot;kr&quot;_-;_-@_-"/>
    <numFmt numFmtId="164" formatCode="_-* #,##0\ &quot;kr&quot;_-;\-* #,##0\ &quot;kr&quot;_-;_-* &quot;-&quot;??\ &quot;kr&quot;_-;_-@_-"/>
    <numFmt numFmtId="166" formatCode="#,##0.0"/>
    <numFmt numFmtId="167" formatCode="#,##0.00\ &quot;kr&quot;"/>
    <numFmt numFmtId="168" formatCode="#,##0.0\ &quot;kr&quot;"/>
    <numFmt numFmtId="169" formatCode="#,##0\ &quot;kr&quot;"/>
  </numFmts>
  <fonts count="11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0"/>
      <name val="Verdana"/>
      <family val="2"/>
    </font>
    <font>
      <sz val="12"/>
      <name val="Arial"/>
      <family val="2"/>
    </font>
    <font>
      <sz val="10"/>
      <name val="Arial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i/>
      <sz val="11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5F7AA"/>
        <bgColor indexed="64"/>
      </patternFill>
    </fill>
    <fill>
      <patternFill patternType="solid">
        <fgColor rgb="FF96BC5A"/>
        <bgColor indexed="64"/>
      </patternFill>
    </fill>
    <fill>
      <patternFill patternType="solid">
        <fgColor rgb="FFE8EFF9"/>
        <bgColor indexed="64"/>
      </patternFill>
    </fill>
    <fill>
      <patternFill patternType="solid">
        <fgColor rgb="FF9BD6EF"/>
        <bgColor indexed="64"/>
      </patternFill>
    </fill>
    <fill>
      <patternFill patternType="solid">
        <fgColor rgb="FFEBECED"/>
        <bgColor indexed="64"/>
      </patternFill>
    </fill>
    <fill>
      <patternFill patternType="solid">
        <fgColor rgb="FFFFFBD6"/>
        <bgColor indexed="64"/>
      </patternFill>
    </fill>
    <fill>
      <patternFill patternType="solid">
        <fgColor rgb="FFFFE666"/>
        <bgColor indexed="64"/>
      </patternFill>
    </fill>
    <fill>
      <patternFill patternType="solid">
        <fgColor rgb="FFF3EDD5"/>
        <bgColor indexed="64"/>
      </patternFill>
    </fill>
    <fill>
      <patternFill patternType="solid">
        <fgColor rgb="FFDF8678"/>
        <bgColor indexed="64"/>
      </patternFill>
    </fill>
    <fill>
      <patternFill patternType="solid">
        <fgColor rgb="FFDDDDDD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7" fillId="0" borderId="0" xfId="0" applyFont="1"/>
    <xf numFmtId="0" fontId="9" fillId="0" borderId="0" xfId="0" applyFont="1"/>
    <xf numFmtId="0" fontId="6" fillId="0" borderId="0" xfId="0" applyFont="1" applyAlignment="1">
      <alignment horizontal="left"/>
    </xf>
    <xf numFmtId="0" fontId="10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164" fontId="9" fillId="0" borderId="0" xfId="1" applyNumberFormat="1" applyFont="1" applyBorder="1" applyAlignment="1" applyProtection="1">
      <alignment horizontal="right"/>
    </xf>
    <xf numFmtId="0" fontId="9" fillId="0" borderId="0" xfId="0" applyFont="1" applyProtection="1">
      <protection locked="0"/>
    </xf>
    <xf numFmtId="164" fontId="9" fillId="0" borderId="0" xfId="0" applyNumberFormat="1" applyFont="1" applyAlignment="1">
      <alignment horizontal="right"/>
    </xf>
    <xf numFmtId="164" fontId="8" fillId="0" borderId="0" xfId="1" applyNumberFormat="1" applyFont="1" applyFill="1" applyBorder="1" applyAlignment="1" applyProtection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8" fillId="0" borderId="8" xfId="0" applyFont="1" applyBorder="1"/>
    <xf numFmtId="0" fontId="9" fillId="0" borderId="9" xfId="0" applyFont="1" applyBorder="1"/>
    <xf numFmtId="164" fontId="8" fillId="0" borderId="10" xfId="1" applyNumberFormat="1" applyFont="1" applyBorder="1" applyAlignment="1" applyProtection="1">
      <alignment horizontal="right"/>
    </xf>
    <xf numFmtId="164" fontId="9" fillId="0" borderId="2" xfId="0" applyNumberFormat="1" applyFont="1" applyBorder="1" applyAlignment="1">
      <alignment horizontal="right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" xfId="0" applyFont="1" applyBorder="1" applyAlignment="1" applyProtection="1">
      <alignment horizontal="center"/>
      <protection locked="0"/>
    </xf>
    <xf numFmtId="2" fontId="9" fillId="0" borderId="2" xfId="0" applyNumberFormat="1" applyFont="1" applyBorder="1" applyAlignment="1">
      <alignment horizontal="center"/>
    </xf>
    <xf numFmtId="1" fontId="9" fillId="0" borderId="1" xfId="0" applyNumberFormat="1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9" fontId="9" fillId="0" borderId="1" xfId="0" applyNumberFormat="1" applyFont="1" applyBorder="1" applyAlignment="1" applyProtection="1">
      <alignment horizontal="center"/>
      <protection locked="0"/>
    </xf>
    <xf numFmtId="0" fontId="9" fillId="0" borderId="9" xfId="0" applyFont="1" applyBorder="1" applyAlignment="1">
      <alignment horizontal="center"/>
    </xf>
    <xf numFmtId="0" fontId="8" fillId="0" borderId="0" xfId="0" applyFont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 wrapText="1"/>
    </xf>
    <xf numFmtId="0" fontId="9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>
      <alignment horizontal="left"/>
    </xf>
    <xf numFmtId="0" fontId="8" fillId="0" borderId="3" xfId="0" applyFont="1" applyBorder="1" applyAlignment="1">
      <alignment horizontal="right"/>
    </xf>
    <xf numFmtId="0" fontId="10" fillId="0" borderId="0" xfId="0" applyFont="1" applyAlignment="1">
      <alignment horizontal="center"/>
    </xf>
    <xf numFmtId="164" fontId="9" fillId="0" borderId="0" xfId="0" applyNumberFormat="1" applyFont="1" applyAlignment="1">
      <alignment horizontal="center"/>
    </xf>
    <xf numFmtId="0" fontId="9" fillId="0" borderId="2" xfId="0" applyFont="1" applyBorder="1" applyAlignment="1">
      <alignment horizontal="center"/>
    </xf>
    <xf numFmtId="2" fontId="9" fillId="0" borderId="6" xfId="0" applyNumberFormat="1" applyFont="1" applyBorder="1" applyAlignment="1" applyProtection="1">
      <alignment horizontal="center"/>
      <protection locked="0"/>
    </xf>
    <xf numFmtId="3" fontId="9" fillId="0" borderId="1" xfId="0" applyNumberFormat="1" applyFont="1" applyBorder="1" applyAlignment="1" applyProtection="1">
      <alignment horizontal="center"/>
      <protection locked="0"/>
    </xf>
    <xf numFmtId="4" fontId="9" fillId="0" borderId="1" xfId="0" applyNumberFormat="1" applyFont="1" applyBorder="1" applyAlignment="1" applyProtection="1">
      <alignment horizontal="center"/>
      <protection locked="0"/>
    </xf>
    <xf numFmtId="4" fontId="9" fillId="0" borderId="0" xfId="0" applyNumberFormat="1" applyFont="1" applyAlignment="1">
      <alignment horizontal="center"/>
    </xf>
    <xf numFmtId="166" fontId="9" fillId="0" borderId="1" xfId="0" applyNumberFormat="1" applyFont="1" applyBorder="1" applyAlignment="1" applyProtection="1">
      <alignment horizontal="center"/>
      <protection locked="0"/>
    </xf>
    <xf numFmtId="9" fontId="9" fillId="0" borderId="1" xfId="2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0" borderId="11" xfId="0" applyFont="1" applyBorder="1"/>
    <xf numFmtId="0" fontId="9" fillId="0" borderId="11" xfId="0" applyFont="1" applyBorder="1"/>
    <xf numFmtId="0" fontId="8" fillId="0" borderId="12" xfId="0" applyFont="1" applyBorder="1" applyAlignment="1">
      <alignment horizontal="center"/>
    </xf>
    <xf numFmtId="0" fontId="8" fillId="0" borderId="11" xfId="0" applyFont="1" applyBorder="1" applyAlignment="1">
      <alignment horizontal="right"/>
    </xf>
    <xf numFmtId="0" fontId="8" fillId="0" borderId="11" xfId="0" applyFont="1" applyBorder="1" applyAlignment="1">
      <alignment horizontal="center"/>
    </xf>
    <xf numFmtId="4" fontId="8" fillId="0" borderId="12" xfId="0" applyNumberFormat="1" applyFont="1" applyBorder="1" applyAlignment="1">
      <alignment horizontal="center"/>
    </xf>
    <xf numFmtId="4" fontId="8" fillId="0" borderId="11" xfId="0" applyNumberFormat="1" applyFont="1" applyBorder="1" applyAlignment="1">
      <alignment horizontal="center"/>
    </xf>
    <xf numFmtId="164" fontId="8" fillId="0" borderId="0" xfId="0" applyNumberFormat="1" applyFont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9" fillId="0" borderId="14" xfId="0" applyFont="1" applyBorder="1" applyAlignment="1">
      <alignment horizontal="center"/>
    </xf>
    <xf numFmtId="9" fontId="9" fillId="0" borderId="15" xfId="2" applyFont="1" applyFill="1" applyBorder="1" applyAlignment="1" applyProtection="1">
      <alignment horizontal="center"/>
      <protection locked="0"/>
    </xf>
    <xf numFmtId="3" fontId="9" fillId="0" borderId="7" xfId="0" applyNumberFormat="1" applyFont="1" applyBorder="1" applyAlignment="1" applyProtection="1">
      <alignment horizontal="center"/>
      <protection locked="0"/>
    </xf>
    <xf numFmtId="9" fontId="9" fillId="0" borderId="7" xfId="2" applyFont="1" applyFill="1" applyBorder="1" applyAlignment="1" applyProtection="1">
      <alignment horizontal="center"/>
      <protection locked="0"/>
    </xf>
    <xf numFmtId="4" fontId="9" fillId="0" borderId="7" xfId="0" applyNumberFormat="1" applyFont="1" applyBorder="1" applyAlignment="1" applyProtection="1">
      <alignment horizontal="center"/>
      <protection locked="0"/>
    </xf>
    <xf numFmtId="0" fontId="9" fillId="0" borderId="4" xfId="0" applyFont="1" applyBorder="1" applyAlignment="1" applyProtection="1">
      <alignment horizontal="center"/>
      <protection locked="0"/>
    </xf>
    <xf numFmtId="9" fontId="9" fillId="0" borderId="4" xfId="2" applyFont="1" applyFill="1" applyBorder="1" applyAlignment="1" applyProtection="1">
      <alignment horizontal="center"/>
      <protection locked="0"/>
    </xf>
    <xf numFmtId="164" fontId="8" fillId="0" borderId="0" xfId="1" applyNumberFormat="1" applyFont="1" applyBorder="1" applyAlignment="1" applyProtection="1">
      <alignment horizontal="right"/>
    </xf>
    <xf numFmtId="0" fontId="9" fillId="0" borderId="11" xfId="0" applyFont="1" applyBorder="1" applyAlignment="1">
      <alignment horizontal="center"/>
    </xf>
    <xf numFmtId="4" fontId="9" fillId="0" borderId="11" xfId="0" applyNumberFormat="1" applyFont="1" applyBorder="1" applyAlignment="1">
      <alignment horizontal="center"/>
    </xf>
    <xf numFmtId="164" fontId="9" fillId="3" borderId="0" xfId="1" applyNumberFormat="1" applyFont="1" applyFill="1" applyBorder="1" applyAlignment="1" applyProtection="1">
      <alignment horizontal="right"/>
    </xf>
    <xf numFmtId="164" fontId="9" fillId="5" borderId="0" xfId="1" applyNumberFormat="1" applyFont="1" applyFill="1" applyBorder="1" applyAlignment="1" applyProtection="1">
      <alignment horizontal="right"/>
    </xf>
    <xf numFmtId="5" fontId="8" fillId="7" borderId="12" xfId="1" applyNumberFormat="1" applyFont="1" applyFill="1" applyBorder="1" applyAlignment="1" applyProtection="1">
      <alignment horizontal="right"/>
    </xf>
    <xf numFmtId="164" fontId="9" fillId="8" borderId="0" xfId="1" applyNumberFormat="1" applyFont="1" applyFill="1" applyBorder="1" applyAlignment="1" applyProtection="1">
      <alignment horizontal="right"/>
    </xf>
    <xf numFmtId="164" fontId="9" fillId="10" borderId="0" xfId="1" applyNumberFormat="1" applyFont="1" applyFill="1" applyBorder="1" applyAlignment="1" applyProtection="1">
      <alignment horizontal="right"/>
    </xf>
    <xf numFmtId="164" fontId="8" fillId="4" borderId="13" xfId="1" applyNumberFormat="1" applyFont="1" applyFill="1" applyBorder="1" applyAlignment="1" applyProtection="1">
      <alignment horizontal="right"/>
    </xf>
    <xf numFmtId="164" fontId="9" fillId="6" borderId="13" xfId="1" applyNumberFormat="1" applyFont="1" applyFill="1" applyBorder="1" applyAlignment="1" applyProtection="1">
      <alignment horizontal="right"/>
    </xf>
    <xf numFmtId="164" fontId="9" fillId="9" borderId="13" xfId="1" applyNumberFormat="1" applyFont="1" applyFill="1" applyBorder="1" applyAlignment="1" applyProtection="1">
      <alignment horizontal="right"/>
    </xf>
    <xf numFmtId="164" fontId="9" fillId="10" borderId="2" xfId="1" applyNumberFormat="1" applyFont="1" applyFill="1" applyBorder="1" applyAlignment="1" applyProtection="1">
      <alignment horizontal="right"/>
    </xf>
    <xf numFmtId="164" fontId="8" fillId="11" borderId="13" xfId="1" applyNumberFormat="1" applyFont="1" applyFill="1" applyBorder="1" applyAlignment="1" applyProtection="1">
      <alignment horizontal="right"/>
    </xf>
    <xf numFmtId="164" fontId="8" fillId="11" borderId="16" xfId="1" applyNumberFormat="1" applyFont="1" applyFill="1" applyBorder="1" applyAlignment="1" applyProtection="1">
      <alignment horizontal="right"/>
    </xf>
    <xf numFmtId="164" fontId="9" fillId="10" borderId="7" xfId="1" applyNumberFormat="1" applyFont="1" applyFill="1" applyBorder="1" applyAlignment="1" applyProtection="1">
      <alignment horizontal="right"/>
    </xf>
    <xf numFmtId="164" fontId="9" fillId="9" borderId="16" xfId="1" applyNumberFormat="1" applyFont="1" applyFill="1" applyBorder="1" applyAlignment="1" applyProtection="1">
      <alignment horizontal="right"/>
    </xf>
    <xf numFmtId="164" fontId="9" fillId="6" borderId="16" xfId="1" applyNumberFormat="1" applyFont="1" applyFill="1" applyBorder="1" applyAlignment="1" applyProtection="1">
      <alignment horizontal="right"/>
    </xf>
    <xf numFmtId="164" fontId="8" fillId="4" borderId="16" xfId="1" applyNumberFormat="1" applyFont="1" applyFill="1" applyBorder="1" applyAlignment="1" applyProtection="1">
      <alignment horizontal="right"/>
    </xf>
    <xf numFmtId="0" fontId="8" fillId="0" borderId="13" xfId="0" applyFont="1" applyBorder="1" applyAlignment="1">
      <alignment horizontal="right"/>
    </xf>
    <xf numFmtId="0" fontId="8" fillId="0" borderId="5" xfId="0" applyFont="1" applyBorder="1" applyAlignment="1">
      <alignment horizontal="left"/>
    </xf>
    <xf numFmtId="0" fontId="8" fillId="0" borderId="0" xfId="0" applyFont="1" applyAlignment="1">
      <alignment horizontal="left"/>
    </xf>
    <xf numFmtId="2" fontId="9" fillId="0" borderId="0" xfId="0" applyNumberFormat="1" applyFont="1" applyAlignment="1" applyProtection="1">
      <alignment horizontal="center"/>
      <protection locked="0"/>
    </xf>
    <xf numFmtId="4" fontId="9" fillId="0" borderId="16" xfId="0" applyNumberFormat="1" applyFont="1" applyBorder="1" applyAlignment="1">
      <alignment horizontal="center"/>
    </xf>
    <xf numFmtId="0" fontId="8" fillId="0" borderId="17" xfId="0" applyFont="1" applyBorder="1"/>
    <xf numFmtId="0" fontId="9" fillId="0" borderId="16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3" fontId="9" fillId="0" borderId="4" xfId="0" applyNumberFormat="1" applyFont="1" applyBorder="1" applyAlignment="1" applyProtection="1">
      <alignment horizontal="center"/>
      <protection locked="0"/>
    </xf>
    <xf numFmtId="0" fontId="8" fillId="0" borderId="11" xfId="0" applyFont="1" applyBorder="1" applyAlignment="1" applyProtection="1">
      <alignment horizontal="center"/>
      <protection locked="0"/>
    </xf>
    <xf numFmtId="0" fontId="8" fillId="0" borderId="3" xfId="0" applyFont="1" applyBorder="1"/>
    <xf numFmtId="3" fontId="9" fillId="7" borderId="1" xfId="1" applyNumberFormat="1" applyFont="1" applyFill="1" applyBorder="1" applyAlignment="1" applyProtection="1">
      <alignment horizontal="center"/>
    </xf>
    <xf numFmtId="2" fontId="9" fillId="0" borderId="6" xfId="0" applyNumberFormat="1" applyFont="1" applyBorder="1" applyAlignment="1">
      <alignment horizontal="center"/>
    </xf>
    <xf numFmtId="164" fontId="8" fillId="11" borderId="11" xfId="1" applyNumberFormat="1" applyFont="1" applyFill="1" applyBorder="1" applyAlignment="1" applyProtection="1">
      <alignment horizontal="right"/>
    </xf>
    <xf numFmtId="0" fontId="9" fillId="12" borderId="2" xfId="0" applyFont="1" applyFill="1" applyBorder="1" applyAlignment="1" applyProtection="1">
      <alignment horizontal="center"/>
      <protection locked="0"/>
    </xf>
    <xf numFmtId="0" fontId="9" fillId="0" borderId="7" xfId="0" applyFont="1" applyBorder="1" applyAlignment="1" applyProtection="1">
      <alignment horizontal="center"/>
      <protection locked="0"/>
    </xf>
    <xf numFmtId="0" fontId="8" fillId="0" borderId="18" xfId="0" applyFont="1" applyBorder="1" applyAlignment="1">
      <alignment horizontal="center"/>
    </xf>
    <xf numFmtId="3" fontId="9" fillId="0" borderId="1" xfId="1" applyNumberFormat="1" applyFont="1" applyFill="1" applyBorder="1" applyAlignment="1" applyProtection="1">
      <alignment horizontal="center"/>
    </xf>
    <xf numFmtId="3" fontId="9" fillId="12" borderId="1" xfId="0" applyNumberFormat="1" applyFont="1" applyFill="1" applyBorder="1" applyAlignment="1" applyProtection="1">
      <alignment horizontal="center"/>
      <protection locked="0"/>
    </xf>
    <xf numFmtId="164" fontId="8" fillId="7" borderId="12" xfId="1" applyNumberFormat="1" applyFont="1" applyFill="1" applyBorder="1" applyAlignment="1" applyProtection="1">
      <alignment horizontal="right"/>
    </xf>
    <xf numFmtId="0" fontId="7" fillId="0" borderId="3" xfId="0" applyFont="1" applyBorder="1"/>
    <xf numFmtId="0" fontId="8" fillId="0" borderId="0" xfId="0" applyFont="1" applyAlignment="1">
      <alignment horizontal="right"/>
    </xf>
    <xf numFmtId="168" fontId="9" fillId="0" borderId="0" xfId="0" applyNumberFormat="1" applyFont="1" applyAlignment="1">
      <alignment horizontal="right"/>
    </xf>
    <xf numFmtId="169" fontId="9" fillId="0" borderId="0" xfId="0" applyNumberFormat="1" applyFont="1" applyAlignment="1">
      <alignment horizontal="right"/>
    </xf>
    <xf numFmtId="169" fontId="9" fillId="0" borderId="3" xfId="0" applyNumberFormat="1" applyFont="1" applyBorder="1" applyAlignment="1">
      <alignment horizontal="right"/>
    </xf>
    <xf numFmtId="169" fontId="8" fillId="0" borderId="0" xfId="0" applyNumberFormat="1" applyFont="1" applyAlignment="1">
      <alignment horizontal="right"/>
    </xf>
    <xf numFmtId="167" fontId="8" fillId="0" borderId="0" xfId="1" applyNumberFormat="1" applyFont="1" applyBorder="1" applyAlignment="1" applyProtection="1">
      <alignment horizontal="right"/>
      <protection locked="0"/>
    </xf>
    <xf numFmtId="168" fontId="9" fillId="0" borderId="0" xfId="1" applyNumberFormat="1" applyFont="1" applyBorder="1" applyAlignment="1" applyProtection="1">
      <alignment horizontal="right"/>
      <protection locked="0"/>
    </xf>
    <xf numFmtId="168" fontId="9" fillId="0" borderId="0" xfId="1" applyNumberFormat="1" applyFont="1" applyBorder="1" applyAlignment="1">
      <alignment horizontal="right"/>
    </xf>
    <xf numFmtId="168" fontId="9" fillId="0" borderId="3" xfId="1" applyNumberFormat="1" applyFont="1" applyBorder="1" applyAlignment="1" applyProtection="1">
      <alignment horizontal="right"/>
      <protection locked="0"/>
    </xf>
    <xf numFmtId="164" fontId="9" fillId="0" borderId="3" xfId="0" applyNumberFormat="1" applyFont="1" applyBorder="1" applyAlignment="1">
      <alignment horizontal="right"/>
    </xf>
    <xf numFmtId="164" fontId="9" fillId="0" borderId="0" xfId="0" applyNumberFormat="1" applyFont="1" applyAlignment="1" applyProtection="1">
      <alignment horizontal="right"/>
      <protection locked="0"/>
    </xf>
    <xf numFmtId="0" fontId="6" fillId="0" borderId="0" xfId="0" applyFont="1" applyAlignment="1">
      <alignment horizontal="center"/>
    </xf>
  </cellXfs>
  <cellStyles count="3">
    <cellStyle name="Normal" xfId="0" builtinId="0"/>
    <cellStyle name="Procent" xfId="2" builtinId="5"/>
    <cellStyle name="Valuta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D76B7"/>
      <rgbColor rgb="00D7DCF0"/>
      <rgbColor rgb="0025387D"/>
      <rgbColor rgb="00C8DA96"/>
      <rgbColor rgb="00417846"/>
      <rgbColor rgb="00BE2850"/>
      <rgbColor rgb="00000000"/>
      <rgbColor rgb="00FFFFFF"/>
      <rgbColor rgb="005D76B7"/>
      <rgbColor rgb="00D7DCF0"/>
      <rgbColor rgb="0025387D"/>
      <rgbColor rgb="00C8DA96"/>
      <rgbColor rgb="00417846"/>
      <rgbColor rgb="00BE2850"/>
      <rgbColor rgb="00000000"/>
      <rgbColor rgb="00FFFF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D5F7AA"/>
      <color rgb="FFFFCC10"/>
      <color rgb="FFCF2C35"/>
      <color rgb="FF5BC2E7"/>
      <color rgb="FFF3EDD5"/>
      <color rgb="FFDDDDDD"/>
      <color rgb="FF96BC5A"/>
      <color rgb="FF628E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400" b="0" i="0" u="none" strike="noStrike" kern="1200" spc="0" baseline="0">
                <a:solidFill>
                  <a:sysClr val="windowText" lastClr="000000"/>
                </a:solidFill>
              </a:rPr>
              <a:t>Diko, vårkalvande - andel av kostnad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678-4096-8D6F-4DF2A2E864E6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678-4096-8D6F-4DF2A2E864E6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678-4096-8D6F-4DF2A2E864E6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678-4096-8D6F-4DF2A2E864E6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678-4096-8D6F-4DF2A2E864E6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C678-4096-8D6F-4DF2A2E864E6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C678-4096-8D6F-4DF2A2E864E6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C678-4096-8D6F-4DF2A2E864E6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'Diko vår'!$A$60:$A$67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vår'!$C$60:$C$67</c:f>
              <c:numCache>
                <c:formatCode>_-* #\ ##0\ "kr"_-;\-* #\ ##0\ "kr"_-;_-* "-"??\ "kr"_-;_-@_-</c:formatCode>
                <c:ptCount val="8"/>
                <c:pt idx="0">
                  <c:v>4000</c:v>
                </c:pt>
                <c:pt idx="1">
                  <c:v>5572.1</c:v>
                </c:pt>
                <c:pt idx="2">
                  <c:v>1638</c:v>
                </c:pt>
                <c:pt idx="3">
                  <c:v>2880</c:v>
                </c:pt>
                <c:pt idx="4">
                  <c:v>710</c:v>
                </c:pt>
                <c:pt idx="5">
                  <c:v>3600</c:v>
                </c:pt>
                <c:pt idx="6">
                  <c:v>1000</c:v>
                </c:pt>
                <c:pt idx="7">
                  <c:v>1820.0025000000001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29-4F7F-9BA8-40F8717AC8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Diko, vårkalvande - kostnad</a:t>
            </a:r>
            <a:r>
              <a:rPr lang="sv-SE" baseline="0"/>
              <a:t> per kg kalv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CDD-412B-AB8C-B57B13650309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CDD-412B-AB8C-B57B13650309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CDD-412B-AB8C-B57B13650309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CDD-412B-AB8C-B57B13650309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CDD-412B-AB8C-B57B13650309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CDD-412B-AB8C-B57B13650309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CDD-412B-AB8C-B57B13650309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6CDD-412B-AB8C-B57B13650309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'Diko vår'!$A$60:$A$67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vår'!$D$60:$D$67</c:f>
              <c:numCache>
                <c:formatCode>_-* #\ ##0\ "kr"_-;\-* #\ ##0\ "kr"_-;_-* "-"??\ "kr"_-;_-@_-</c:formatCode>
                <c:ptCount val="8"/>
                <c:pt idx="0">
                  <c:v>13.913043478260869</c:v>
                </c:pt>
                <c:pt idx="1">
                  <c:v>19.38121739130435</c:v>
                </c:pt>
                <c:pt idx="2">
                  <c:v>5.6973913043478257</c:v>
                </c:pt>
                <c:pt idx="3">
                  <c:v>10.017391304347827</c:v>
                </c:pt>
                <c:pt idx="4">
                  <c:v>2.4695652173913043</c:v>
                </c:pt>
                <c:pt idx="5">
                  <c:v>12.521739130434783</c:v>
                </c:pt>
                <c:pt idx="6">
                  <c:v>3.4782608695652173</c:v>
                </c:pt>
                <c:pt idx="7">
                  <c:v>6.3304434782608698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6CDD-412B-AB8C-B57B1365030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Diko, höstkalvande - andel av kostnad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'Diko höst'!$C$59</c:f>
              <c:strCache>
                <c:ptCount val="1"/>
                <c:pt idx="0">
                  <c:v>Värde, kr</c:v>
                </c:pt>
              </c:strCache>
            </c:strRef>
          </c:tx>
          <c:spPr>
            <a:solidFill>
              <a:srgbClr val="628E3D"/>
            </a:solidFill>
          </c:spPr>
          <c:dPt>
            <c:idx val="0"/>
            <c:bubble3D val="0"/>
            <c:spPr>
              <a:solidFill>
                <a:srgbClr val="628E3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E30-4404-B40C-1715FCBA92ED}"/>
              </c:ext>
            </c:extLst>
          </c:dPt>
          <c:dPt>
            <c:idx val="1"/>
            <c:bubble3D val="0"/>
            <c:spPr>
              <a:solidFill>
                <a:srgbClr val="96BC5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E30-4404-B40C-1715FCBA92ED}"/>
              </c:ext>
            </c:extLst>
          </c:dPt>
          <c:dPt>
            <c:idx val="2"/>
            <c:bubble3D val="0"/>
            <c:spPr>
              <a:solidFill>
                <a:srgbClr val="D5F7AA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E30-4404-B40C-1715FCBA92ED}"/>
              </c:ext>
            </c:extLst>
          </c:dPt>
          <c:dPt>
            <c:idx val="3"/>
            <c:bubble3D val="0"/>
            <c:spPr>
              <a:solidFill>
                <a:srgbClr val="DDDDD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E30-4404-B40C-1715FCBA92ED}"/>
              </c:ext>
            </c:extLst>
          </c:dPt>
          <c:dPt>
            <c:idx val="4"/>
            <c:bubble3D val="0"/>
            <c:spPr>
              <a:solidFill>
                <a:srgbClr val="F3EDD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E30-4404-B40C-1715FCBA92ED}"/>
              </c:ext>
            </c:extLst>
          </c:dPt>
          <c:dPt>
            <c:idx val="5"/>
            <c:bubble3D val="0"/>
            <c:spPr>
              <a:solidFill>
                <a:srgbClr val="5BC2E7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1E30-4404-B40C-1715FCBA92ED}"/>
              </c:ext>
            </c:extLst>
          </c:dPt>
          <c:dPt>
            <c:idx val="6"/>
            <c:bubble3D val="0"/>
            <c:spPr>
              <a:solidFill>
                <a:srgbClr val="CF2C3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1E30-4404-B40C-1715FCBA92ED}"/>
              </c:ext>
            </c:extLst>
          </c:dPt>
          <c:dPt>
            <c:idx val="7"/>
            <c:bubble3D val="0"/>
            <c:spPr>
              <a:solidFill>
                <a:srgbClr val="FFCC1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1E30-4404-B40C-1715FCBA92ED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'Diko höst'!$A$60:$A$67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höst'!$C$60:$C$67</c:f>
              <c:numCache>
                <c:formatCode>#\ ##0\ "kr"</c:formatCode>
                <c:ptCount val="8"/>
                <c:pt idx="0">
                  <c:v>4000</c:v>
                </c:pt>
                <c:pt idx="1">
                  <c:v>6492.1</c:v>
                </c:pt>
                <c:pt idx="2">
                  <c:v>1638</c:v>
                </c:pt>
                <c:pt idx="3">
                  <c:v>2670</c:v>
                </c:pt>
                <c:pt idx="4">
                  <c:v>710</c:v>
                </c:pt>
                <c:pt idx="5">
                  <c:v>3600</c:v>
                </c:pt>
                <c:pt idx="6">
                  <c:v>1666.6666666666667</c:v>
                </c:pt>
                <c:pt idx="7">
                  <c:v>1870.2525000000001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1E30-4404-B40C-1715FCBA92ED}"/>
            </c:ext>
          </c:extLst>
        </c:ser>
        <c:dLbls>
          <c:dLblPos val="bestFit"/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v-SE"/>
    </a:p>
  </c:txPr>
  <c:printSettings>
    <c:headerFooter>
      <c:oddHeader>&amp;V&amp;G</c:oddHeader>
    </c:headerFooter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Diko, höstkalvande - kostnad</a:t>
            </a:r>
            <a:r>
              <a:rPr lang="sv-SE" baseline="0"/>
              <a:t> per kg kalv</a:t>
            </a:r>
            <a:endParaRPr lang="sv-SE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628E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11E-42C8-A574-AE220641E5FA}"/>
              </c:ext>
            </c:extLst>
          </c:dPt>
          <c:dPt>
            <c:idx val="1"/>
            <c:invertIfNegative val="0"/>
            <c:bubble3D val="0"/>
            <c:spPr>
              <a:solidFill>
                <a:srgbClr val="96BC5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B11E-42C8-A574-AE220641E5FA}"/>
              </c:ext>
            </c:extLst>
          </c:dPt>
          <c:dPt>
            <c:idx val="2"/>
            <c:invertIfNegative val="0"/>
            <c:bubble3D val="0"/>
            <c:spPr>
              <a:solidFill>
                <a:srgbClr val="D5F7AA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B11E-42C8-A574-AE220641E5FA}"/>
              </c:ext>
            </c:extLst>
          </c:dPt>
          <c:dPt>
            <c:idx val="3"/>
            <c:invertIfNegative val="0"/>
            <c:bubble3D val="0"/>
            <c:spPr>
              <a:solidFill>
                <a:srgbClr val="DDDDD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11E-42C8-A574-AE220641E5FA}"/>
              </c:ext>
            </c:extLst>
          </c:dPt>
          <c:dPt>
            <c:idx val="4"/>
            <c:invertIfNegative val="0"/>
            <c:bubble3D val="0"/>
            <c:spPr>
              <a:solidFill>
                <a:srgbClr val="F3EDD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B11E-42C8-A574-AE220641E5FA}"/>
              </c:ext>
            </c:extLst>
          </c:dPt>
          <c:dPt>
            <c:idx val="5"/>
            <c:invertIfNegative val="0"/>
            <c:bubble3D val="0"/>
            <c:spPr>
              <a:solidFill>
                <a:srgbClr val="5BC2E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11E-42C8-A574-AE220641E5FA}"/>
              </c:ext>
            </c:extLst>
          </c:dPt>
          <c:dPt>
            <c:idx val="6"/>
            <c:invertIfNegative val="0"/>
            <c:bubble3D val="0"/>
            <c:spPr>
              <a:solidFill>
                <a:srgbClr val="CF2C3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B11E-42C8-A574-AE220641E5FA}"/>
              </c:ext>
            </c:extLst>
          </c:dPt>
          <c:dPt>
            <c:idx val="7"/>
            <c:invertIfNegative val="0"/>
            <c:bubble3D val="0"/>
            <c:spPr>
              <a:solidFill>
                <a:srgbClr val="FFCC1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11E-42C8-A574-AE220641E5FA}"/>
              </c:ext>
            </c:extLst>
          </c:dPt>
          <c:dLbls>
            <c:numFmt formatCode="#,##0.0\ &quot;kr&quot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v-S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'Diko höst'!$A$60:$A$67</c:f>
              <c:strCache>
                <c:ptCount val="8"/>
                <c:pt idx="0">
                  <c:v>Inköp djur</c:v>
                </c:pt>
                <c:pt idx="1">
                  <c:v>Foder</c:v>
                </c:pt>
                <c:pt idx="2">
                  <c:v>Foderberedning</c:v>
                </c:pt>
                <c:pt idx="3">
                  <c:v>Strö</c:v>
                </c:pt>
                <c:pt idx="4">
                  <c:v>Diverse</c:v>
                </c:pt>
                <c:pt idx="5">
                  <c:v>Arbete</c:v>
                </c:pt>
                <c:pt idx="6">
                  <c:v>Byggnader</c:v>
                </c:pt>
                <c:pt idx="7">
                  <c:v>Ränta</c:v>
                </c:pt>
              </c:strCache>
            </c:strRef>
          </c:cat>
          <c:val>
            <c:numRef>
              <c:f>'Diko höst'!$D$60:$D$67</c:f>
              <c:numCache>
                <c:formatCode>#\ ##0.0\ "kr"</c:formatCode>
                <c:ptCount val="8"/>
                <c:pt idx="0">
                  <c:v>13.913043478260869</c:v>
                </c:pt>
                <c:pt idx="1">
                  <c:v>22.581217391304349</c:v>
                </c:pt>
                <c:pt idx="2">
                  <c:v>5.6973913043478257</c:v>
                </c:pt>
                <c:pt idx="3">
                  <c:v>9.2869565217391301</c:v>
                </c:pt>
                <c:pt idx="4">
                  <c:v>2.4695652173913043</c:v>
                </c:pt>
                <c:pt idx="5">
                  <c:v>12.521739130434783</c:v>
                </c:pt>
                <c:pt idx="6">
                  <c:v>7.7101449275362324</c:v>
                </c:pt>
                <c:pt idx="7">
                  <c:v>4.5921826086956523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1E-42C8-A574-AE220641E5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2097376"/>
        <c:axId val="392101216"/>
      </c:barChart>
      <c:catAx>
        <c:axId val="392097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101216"/>
        <c:crosses val="autoZero"/>
        <c:auto val="1"/>
        <c:lblAlgn val="ctr"/>
        <c:lblOffset val="100"/>
        <c:noMultiLvlLbl val="0"/>
      </c:catAx>
      <c:valAx>
        <c:axId val="39210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2097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</xdr:colOff>
      <xdr:row>71</xdr:row>
      <xdr:rowOff>114472</xdr:rowOff>
    </xdr:from>
    <xdr:to>
      <xdr:col>6</xdr:col>
      <xdr:colOff>459105</xdr:colOff>
      <xdr:row>88</xdr:row>
      <xdr:rowOff>78105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12E6D8C-2205-63B7-E9C1-637FCF17017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90</xdr:row>
      <xdr:rowOff>0</xdr:rowOff>
    </xdr:from>
    <xdr:to>
      <xdr:col>6</xdr:col>
      <xdr:colOff>388620</xdr:colOff>
      <xdr:row>108</xdr:row>
      <xdr:rowOff>160020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224FF6EE-018F-4D1B-B7D6-05448735DF4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68</xdr:row>
      <xdr:rowOff>190500</xdr:rowOff>
    </xdr:from>
    <xdr:to>
      <xdr:col>6</xdr:col>
      <xdr:colOff>581025</xdr:colOff>
      <xdr:row>86</xdr:row>
      <xdr:rowOff>78798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4E1285A-4C3B-4217-B937-F86CAFAB2D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83820</xdr:colOff>
      <xdr:row>87</xdr:row>
      <xdr:rowOff>121920</xdr:rowOff>
    </xdr:from>
    <xdr:to>
      <xdr:col>6</xdr:col>
      <xdr:colOff>449580</xdr:colOff>
      <xdr:row>106</xdr:row>
      <xdr:rowOff>83820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7F47EE0-C0CC-1C08-444F-875C76160A8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svdhv.sharepoint.com/Intranet/arbetsrum/A15/Delade%20dokument/3.%20N&#214;T/252%20Kalkylplattform%20N&#246;t,%20Anett,%20BP2022/Nytt%20material/F&#228;rdigt/Till%20hemsidan/Produktionsgrenskalkyl%20-%20REKRYTERINGSKVIGA%20K&#246;ttras.xlsx" TargetMode="External"/><Relationship Id="rId1" Type="http://schemas.openxmlformats.org/officeDocument/2006/relationships/externalLinkPath" Target="Produktionsgrenskalkyl%20-%20REKRYTERINGSKVIGA%20K&#246;ttr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kryteringskviga"/>
    </sheetNames>
    <sheetDataSet>
      <sheetData sheetId="0">
        <row r="59">
          <cell r="A59" t="str">
            <v>Inköp djur</v>
          </cell>
          <cell r="C59">
            <v>7975</v>
          </cell>
          <cell r="D59">
            <v>15.431501547987617</v>
          </cell>
        </row>
        <row r="60">
          <cell r="A60" t="str">
            <v>Foder</v>
          </cell>
          <cell r="C60">
            <v>5957.16</v>
          </cell>
          <cell r="D60">
            <v>11.52701238390093</v>
          </cell>
        </row>
        <row r="61">
          <cell r="A61" t="str">
            <v>Foderberedning</v>
          </cell>
          <cell r="C61">
            <v>1638</v>
          </cell>
          <cell r="D61">
            <v>3.1695046439628487</v>
          </cell>
        </row>
        <row r="62">
          <cell r="A62" t="str">
            <v>Strö</v>
          </cell>
          <cell r="C62">
            <v>1800</v>
          </cell>
          <cell r="D62">
            <v>3.4829721362229105</v>
          </cell>
        </row>
        <row r="63">
          <cell r="A63" t="str">
            <v>Diverse</v>
          </cell>
          <cell r="C63">
            <v>710</v>
          </cell>
          <cell r="D63">
            <v>1.3738390092879258</v>
          </cell>
        </row>
        <row r="64">
          <cell r="A64" t="str">
            <v>Arbete</v>
          </cell>
          <cell r="C64">
            <v>2584</v>
          </cell>
          <cell r="D64">
            <v>5</v>
          </cell>
        </row>
        <row r="65">
          <cell r="A65" t="str">
            <v>Byggnader</v>
          </cell>
          <cell r="C65">
            <v>1533.3333333333333</v>
          </cell>
          <cell r="D65">
            <v>2.9669762641898867</v>
          </cell>
        </row>
        <row r="66">
          <cell r="A66" t="str">
            <v>Ränta</v>
          </cell>
          <cell r="C66">
            <v>1567.0360250000003</v>
          </cell>
          <cell r="D66">
            <v>3.0321904508513939</v>
          </cell>
        </row>
      </sheetData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>
  <person displayName="Sofie Johansson" id="{CAEE5465-0AF4-439F-9B2B-FB7F8312EF4E}" userId="S::sofie.johansson@gardochdjurhalsan.se::93179014-3d90-46f6-9384-24368c111c58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13" dT="2023-12-11T10:25:07.71" personId="{CAEE5465-0AF4-439F-9B2B-FB7F8312EF4E}" id="{516CCE1A-6025-4359-AF88-6C6F68AF3E80}">
    <text xml:space="preserve">Nötkreaturstödet är 90,55 euro per djurenhet för 2023. </text>
  </threadedComment>
  <threadedComment ref="E14" dT="2023-12-11T10:30:16.70" personId="{CAEE5465-0AF4-439F-9B2B-FB7F8312EF4E}" id="{BCEE5526-779D-4959-B062-0792FC953D14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8" dT="2023-12-11T09:58:25.55" personId="{CAEE5465-0AF4-439F-9B2B-FB7F8312EF4E}" id="{71FCB9F9-4EDE-42EC-B510-19BC17231B09}">
    <text xml:space="preserve">Gårdsstödet är 143,51 euro per hektar för 2023. </text>
  </threadedComment>
  <threadedComment ref="E49" dT="2023-12-11T09:58:43.95" personId="{CAEE5465-0AF4-439F-9B2B-FB7F8312EF4E}" id="{410AA63F-5AEE-4F92-ABB2-39299C595E3E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0" dT="2023-12-11T09:59:12.03" personId="{CAEE5465-0AF4-439F-9B2B-FB7F8312EF4E}" id="{9EFF8BD8-9714-41C1-B087-9B692BD5EB9C}">
    <text>Ersättningen är 1 850 kr/ha för 2023</text>
  </threadedComment>
  <threadedComment ref="E51" dT="2023-12-11T09:59:37.52" personId="{CAEE5465-0AF4-439F-9B2B-FB7F8312EF4E}" id="{4E4C36A0-3492-44F0-A3A0-6735CF638AAA}">
    <text>Ersättningen är 3 950 kr/ha för 2023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E13" dT="2023-12-11T10:25:07.71" personId="{CAEE5465-0AF4-439F-9B2B-FB7F8312EF4E}" id="{5D1567F2-9156-4702-978A-DFD5A0653441}">
    <text xml:space="preserve">Nötkreaturstödet är 90,55 euro per djurenhet för 2023. </text>
  </threadedComment>
  <threadedComment ref="E14" dT="2023-12-11T10:30:16.70" personId="{CAEE5465-0AF4-439F-9B2B-FB7F8312EF4E}" id="{66D20C0C-CC61-4315-AECF-00EEBE3909B6}">
    <text>Djurersättning åkermark, 
där 1 hektar åkermark motsvarar 1 djurenhet. 
Ersättningsnivå 2023: 177 euro per hektar. 
Möjligt intervall 2023: 159–195 euro per hektar. 
Läs mer på: https://jordbruksverket.se/stod/jordbruk-tradgard-och-rennaring/jordbruksmark/ekologisk-produktion</text>
    <extLst>
      <x:ext xmlns:xltc2="http://schemas.microsoft.com/office/spreadsheetml/2020/threadedcomments2" uri="{F7C98A9C-CBB3-438F-8F68-D28B6AF4A901}">
        <xltc2:checksum>1028443805</xltc2:checksum>
        <xltc2:hyperlink startIndex="178" length="98" url="https://jordbruksverket.se/stod/jordbruk-tradgard-och-rennaring/jordbruksmark/ekologisk-produktion"/>
      </x:ext>
    </extLst>
  </threadedComment>
  <threadedComment ref="E48" dT="2023-12-11T09:35:33.35" personId="{CAEE5465-0AF4-439F-9B2B-FB7F8312EF4E}" id="{AEC7F1D7-3576-4103-89ED-D6087981E8DB}">
    <text xml:space="preserve">Gårdsstödet är 143,51 euro per hektar för 2023. </text>
  </threadedComment>
  <threadedComment ref="E49" dT="2023-12-11T09:35:49.97" personId="{CAEE5465-0AF4-439F-9B2B-FB7F8312EF4E}" id="{BF1B0516-D75F-437F-9E33-48BC7AE57B39}">
    <text>Olika belopp beroende på område. Läs mer på https://jordbruksverket.se/stod/jordbruk-tradgard-och-rennaring/jordbruksmark/kompensationsstod</text>
    <extLst>
      <x:ext xmlns:xltc2="http://schemas.microsoft.com/office/spreadsheetml/2020/threadedcomments2" uri="{F7C98A9C-CBB3-438F-8F68-D28B6AF4A901}">
        <xltc2:checksum>2957606451</xltc2:checksum>
        <xltc2:hyperlink startIndex="44" length="95" url="https://jordbruksverket.se/stod/jordbruk-tradgard-och-rennaring/jordbruksmark/kompensationsstod"/>
      </x:ext>
    </extLst>
  </threadedComment>
  <threadedComment ref="E50" dT="2023-12-11T09:36:05.60" personId="{CAEE5465-0AF4-439F-9B2B-FB7F8312EF4E}" id="{927ED8E1-5C8C-45C1-B4D1-1B3B27C9086D}">
    <text>Ersättningen är 1 850 kr/ha för 2023</text>
  </threadedComment>
  <threadedComment ref="E51" dT="2023-12-11T09:36:20.64" personId="{CAEE5465-0AF4-439F-9B2B-FB7F8312EF4E}" id="{4FF30291-362C-48E3-B32F-7019CE37BF08}">
    <text>Ersättningen är 3 950 kr/ha för 2023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microsoft.com/office/2017/10/relationships/threadedComment" Target="../threadedComments/threadedComment1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microsoft.com/office/2017/10/relationships/threadedComment" Target="../threadedComments/threadedComment2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628E3D"/>
  </sheetPr>
  <dimension ref="A2:G69"/>
  <sheetViews>
    <sheetView showGridLines="0" tabSelected="1" zoomScaleNormal="100" workbookViewId="0">
      <selection activeCell="C4" sqref="C4"/>
    </sheetView>
  </sheetViews>
  <sheetFormatPr defaultColWidth="9.109375" defaultRowHeight="15.6" x14ac:dyDescent="0.3"/>
  <cols>
    <col min="1" max="1" width="9.5546875" style="4" customWidth="1"/>
    <col min="2" max="2" width="36.21875" style="4" bestFit="1" customWidth="1"/>
    <col min="3" max="3" width="9.77734375" style="15" bestFit="1" customWidth="1"/>
    <col min="4" max="4" width="8.5546875" style="15" customWidth="1"/>
    <col min="5" max="5" width="8.33203125" style="15" customWidth="1"/>
    <col min="6" max="6" width="9.88671875" style="16" bestFit="1" customWidth="1"/>
    <col min="7" max="7" width="10.6640625" style="15" customWidth="1"/>
    <col min="8" max="8" width="9.109375" style="4"/>
    <col min="9" max="9" width="8.44140625" style="4" customWidth="1"/>
    <col min="10" max="16384" width="9.109375" style="4"/>
  </cols>
  <sheetData>
    <row r="2" spans="1:7" x14ac:dyDescent="0.3">
      <c r="A2" s="111" t="s">
        <v>62</v>
      </c>
      <c r="B2" s="111"/>
      <c r="C2" s="111"/>
      <c r="D2" s="111"/>
      <c r="E2" s="111"/>
      <c r="F2" s="111"/>
      <c r="G2" s="111"/>
    </row>
    <row r="3" spans="1:7" x14ac:dyDescent="0.3">
      <c r="A3" s="6"/>
      <c r="D3" s="4"/>
      <c r="E3" s="31"/>
      <c r="F3" s="31"/>
    </row>
    <row r="4" spans="1:7" s="7" customFormat="1" ht="14.4" x14ac:dyDescent="0.3">
      <c r="B4" s="33" t="s">
        <v>1</v>
      </c>
      <c r="C4" s="91">
        <v>11.532500000000001</v>
      </c>
      <c r="E4" s="9"/>
      <c r="F4" s="5"/>
      <c r="G4" s="35"/>
    </row>
    <row r="5" spans="1:7" s="5" customFormat="1" ht="15" hidden="1" customHeight="1" x14ac:dyDescent="0.3">
      <c r="A5" s="8"/>
      <c r="B5" s="33" t="s">
        <v>2</v>
      </c>
      <c r="C5" s="32">
        <v>0</v>
      </c>
      <c r="E5" s="9"/>
      <c r="G5" s="9"/>
    </row>
    <row r="6" spans="1:7" s="5" customFormat="1" ht="14.4" x14ac:dyDescent="0.3">
      <c r="B6" s="33" t="s">
        <v>42</v>
      </c>
      <c r="C6" s="32">
        <v>275</v>
      </c>
      <c r="D6" s="33" t="s">
        <v>43</v>
      </c>
      <c r="E6" s="38">
        <v>29</v>
      </c>
      <c r="G6" s="9"/>
    </row>
    <row r="7" spans="1:7" s="5" customFormat="1" ht="14.4" x14ac:dyDescent="0.3">
      <c r="B7" s="33" t="s">
        <v>44</v>
      </c>
      <c r="C7" s="32">
        <v>300</v>
      </c>
      <c r="D7" s="33" t="s">
        <v>43</v>
      </c>
      <c r="E7" s="38">
        <v>32</v>
      </c>
      <c r="G7" s="9"/>
    </row>
    <row r="8" spans="1:7" s="5" customFormat="1" ht="14.4" x14ac:dyDescent="0.3">
      <c r="B8" s="80"/>
      <c r="C8" s="26"/>
      <c r="D8" s="81"/>
      <c r="E8" s="82"/>
      <c r="G8" s="9"/>
    </row>
    <row r="9" spans="1:7" s="5" customFormat="1" ht="15" thickBot="1" x14ac:dyDescent="0.35">
      <c r="A9" s="45" t="s">
        <v>3</v>
      </c>
      <c r="B9" s="46"/>
      <c r="C9" s="47" t="s">
        <v>4</v>
      </c>
      <c r="D9" s="47" t="s">
        <v>5</v>
      </c>
      <c r="E9" s="47" t="s">
        <v>6</v>
      </c>
      <c r="F9" s="48" t="s">
        <v>7</v>
      </c>
      <c r="G9" s="49" t="s">
        <v>45</v>
      </c>
    </row>
    <row r="10" spans="1:7" s="5" customFormat="1" ht="14.4" x14ac:dyDescent="0.3">
      <c r="B10" s="5" t="s">
        <v>46</v>
      </c>
      <c r="C10" s="21" t="s">
        <v>8</v>
      </c>
      <c r="D10" s="22">
        <v>70</v>
      </c>
      <c r="E10" s="40">
        <v>52</v>
      </c>
      <c r="F10" s="64">
        <f t="shared" ref="F10:F12" si="0">PRODUCT(D10*E10)</f>
        <v>3640</v>
      </c>
      <c r="G10" s="64">
        <f>F10/(($C$6+$C$7)/2)</f>
        <v>12.660869565217391</v>
      </c>
    </row>
    <row r="11" spans="1:7" s="5" customFormat="1" ht="14.4" x14ac:dyDescent="0.3">
      <c r="B11" s="5" t="s">
        <v>47</v>
      </c>
      <c r="C11" s="21" t="s">
        <v>8</v>
      </c>
      <c r="D11" s="93">
        <f>D10</f>
        <v>70</v>
      </c>
      <c r="E11" s="40"/>
      <c r="F11" s="64">
        <f t="shared" si="0"/>
        <v>0</v>
      </c>
      <c r="G11" s="64">
        <f>F11/(($C$6+$C$7)/2)</f>
        <v>0</v>
      </c>
    </row>
    <row r="12" spans="1:7" s="5" customFormat="1" ht="14.4" x14ac:dyDescent="0.3">
      <c r="B12" s="5" t="s">
        <v>48</v>
      </c>
      <c r="C12" s="21"/>
      <c r="D12" s="23">
        <v>0.94</v>
      </c>
      <c r="E12" s="90">
        <f>0.5*C6*E6+0.5*C7*E7</f>
        <v>8787.5</v>
      </c>
      <c r="F12" s="64">
        <f t="shared" si="0"/>
        <v>8260.25</v>
      </c>
      <c r="G12" s="64">
        <f t="shared" ref="G12:G43" si="1">F12/(($C$6+$C$7)/2)</f>
        <v>28.731304347826086</v>
      </c>
    </row>
    <row r="13" spans="1:7" s="5" customFormat="1" ht="14.4" x14ac:dyDescent="0.3">
      <c r="A13" s="8" t="s">
        <v>9</v>
      </c>
      <c r="B13" s="5" t="s">
        <v>10</v>
      </c>
      <c r="C13" s="21" t="s">
        <v>71</v>
      </c>
      <c r="D13" s="24">
        <v>1</v>
      </c>
      <c r="E13" s="90">
        <f>90.55*C4</f>
        <v>1044.267875</v>
      </c>
      <c r="F13" s="64">
        <f>D13*E13</f>
        <v>1044.267875</v>
      </c>
      <c r="G13" s="64">
        <f t="shared" si="1"/>
        <v>3.6322360869565218</v>
      </c>
    </row>
    <row r="14" spans="1:7" s="5" customFormat="1" ht="14.4" x14ac:dyDescent="0.3">
      <c r="B14" s="5" t="s">
        <v>72</v>
      </c>
      <c r="C14" s="21" t="s">
        <v>69</v>
      </c>
      <c r="D14" s="24">
        <v>0</v>
      </c>
      <c r="E14" s="97">
        <f>177*C4</f>
        <v>2041.2525000000001</v>
      </c>
      <c r="F14" s="64">
        <f>D14*E14</f>
        <v>0</v>
      </c>
      <c r="G14" s="64">
        <f>F14/(($C$6+$C$7)/2)</f>
        <v>0</v>
      </c>
    </row>
    <row r="15" spans="1:7" s="8" customFormat="1" ht="15" thickBot="1" x14ac:dyDescent="0.35">
      <c r="A15" s="45" t="s">
        <v>11</v>
      </c>
      <c r="B15" s="45"/>
      <c r="C15" s="49"/>
      <c r="D15" s="49"/>
      <c r="E15" s="51"/>
      <c r="F15" s="69">
        <f>SUM(F10:F14)</f>
        <v>12944.517875</v>
      </c>
      <c r="G15" s="78">
        <f t="shared" si="1"/>
        <v>45.024409999999996</v>
      </c>
    </row>
    <row r="16" spans="1:7" s="5" customFormat="1" ht="14.4" x14ac:dyDescent="0.3">
      <c r="B16" s="9"/>
      <c r="C16" s="9"/>
      <c r="D16" s="9"/>
      <c r="E16" s="41"/>
      <c r="F16" s="11"/>
      <c r="G16" s="36"/>
    </row>
    <row r="17" spans="1:7" s="5" customFormat="1" ht="15" thickBot="1" x14ac:dyDescent="0.35">
      <c r="A17" s="45" t="s">
        <v>12</v>
      </c>
      <c r="B17" s="46"/>
      <c r="C17" s="47" t="s">
        <v>4</v>
      </c>
      <c r="D17" s="47" t="s">
        <v>5</v>
      </c>
      <c r="E17" s="50" t="s">
        <v>6</v>
      </c>
      <c r="F17" s="48" t="s">
        <v>7</v>
      </c>
      <c r="G17" s="49" t="s">
        <v>45</v>
      </c>
    </row>
    <row r="18" spans="1:7" s="5" customFormat="1" ht="14.4" x14ac:dyDescent="0.3">
      <c r="A18" s="8" t="s">
        <v>13</v>
      </c>
      <c r="B18" s="5" t="s">
        <v>0</v>
      </c>
      <c r="C18" s="21" t="s">
        <v>8</v>
      </c>
      <c r="D18" s="22">
        <v>0.2</v>
      </c>
      <c r="E18" s="96">
        <v>20000</v>
      </c>
      <c r="F18" s="65">
        <f>PRODUCT(D18*E18)</f>
        <v>4000</v>
      </c>
      <c r="G18" s="65">
        <f t="shared" si="1"/>
        <v>13.913043478260869</v>
      </c>
    </row>
    <row r="19" spans="1:7" s="5" customFormat="1" ht="14.4" x14ac:dyDescent="0.3">
      <c r="A19" s="8" t="s">
        <v>14</v>
      </c>
      <c r="B19" s="12" t="s">
        <v>15</v>
      </c>
      <c r="C19" s="21" t="s">
        <v>16</v>
      </c>
      <c r="D19" s="39">
        <v>2000</v>
      </c>
      <c r="E19" s="40">
        <v>2</v>
      </c>
      <c r="F19" s="65">
        <f t="shared" ref="F19:F27" si="2">PRODUCT(D19*E19)</f>
        <v>4000</v>
      </c>
      <c r="G19" s="65">
        <f t="shared" si="1"/>
        <v>13.913043478260869</v>
      </c>
    </row>
    <row r="20" spans="1:7" s="5" customFormat="1" ht="14.4" x14ac:dyDescent="0.3">
      <c r="A20" s="8"/>
      <c r="B20" s="12" t="s">
        <v>17</v>
      </c>
      <c r="C20" s="21" t="s">
        <v>16</v>
      </c>
      <c r="D20" s="39">
        <v>1800</v>
      </c>
      <c r="E20" s="40">
        <v>0.6</v>
      </c>
      <c r="F20" s="65">
        <f t="shared" si="2"/>
        <v>1080</v>
      </c>
      <c r="G20" s="65">
        <f t="shared" si="1"/>
        <v>3.7565217391304349</v>
      </c>
    </row>
    <row r="21" spans="1:7" s="5" customFormat="1" ht="14.4" x14ac:dyDescent="0.3">
      <c r="A21" s="8"/>
      <c r="B21" s="12" t="s">
        <v>18</v>
      </c>
      <c r="C21" s="21"/>
      <c r="D21" s="22"/>
      <c r="E21" s="40"/>
      <c r="F21" s="65">
        <f>PRODUCT(D21*E21)</f>
        <v>0</v>
      </c>
      <c r="G21" s="65">
        <f t="shared" si="1"/>
        <v>0</v>
      </c>
    </row>
    <row r="22" spans="1:7" s="5" customFormat="1" ht="14.4" x14ac:dyDescent="0.3">
      <c r="A22" s="8"/>
      <c r="B22" s="12" t="s">
        <v>19</v>
      </c>
      <c r="C22" s="21" t="s">
        <v>20</v>
      </c>
      <c r="D22" s="22"/>
      <c r="E22" s="40"/>
      <c r="F22" s="65">
        <f t="shared" si="2"/>
        <v>0</v>
      </c>
      <c r="G22" s="65">
        <f t="shared" si="1"/>
        <v>0</v>
      </c>
    </row>
    <row r="23" spans="1:7" s="5" customFormat="1" ht="14.4" x14ac:dyDescent="0.3">
      <c r="A23" s="8"/>
      <c r="B23" s="12" t="s">
        <v>21</v>
      </c>
      <c r="C23" s="21" t="s">
        <v>20</v>
      </c>
      <c r="D23" s="22">
        <v>37</v>
      </c>
      <c r="E23" s="58">
        <v>13.3</v>
      </c>
      <c r="F23" s="65">
        <f t="shared" si="2"/>
        <v>492.1</v>
      </c>
      <c r="G23" s="65">
        <f t="shared" si="1"/>
        <v>1.7116521739130435</v>
      </c>
    </row>
    <row r="24" spans="1:7" s="5" customFormat="1" ht="14.4" x14ac:dyDescent="0.3">
      <c r="A24" s="8"/>
      <c r="B24" s="12" t="s">
        <v>63</v>
      </c>
      <c r="C24" s="21" t="s">
        <v>8</v>
      </c>
      <c r="D24" s="22"/>
      <c r="E24" s="58"/>
      <c r="F24" s="65">
        <f t="shared" si="2"/>
        <v>0</v>
      </c>
      <c r="G24" s="65">
        <f t="shared" si="1"/>
        <v>0</v>
      </c>
    </row>
    <row r="25" spans="1:7" s="5" customFormat="1" ht="14.4" x14ac:dyDescent="0.3">
      <c r="A25" s="8" t="s">
        <v>77</v>
      </c>
      <c r="B25" s="12"/>
      <c r="C25" s="21" t="s">
        <v>27</v>
      </c>
      <c r="D25" s="22">
        <v>1.26</v>
      </c>
      <c r="E25" s="56">
        <v>1300</v>
      </c>
      <c r="F25" s="65">
        <f t="shared" ref="F25" si="3">PRODUCT(D25*E25)</f>
        <v>1638</v>
      </c>
      <c r="G25" s="65">
        <f t="shared" ref="G25" si="4">F25/(($C$6+$C$7)/2)</f>
        <v>5.6973913043478257</v>
      </c>
    </row>
    <row r="26" spans="1:7" s="5" customFormat="1" ht="14.4" x14ac:dyDescent="0.3">
      <c r="A26" s="8" t="s">
        <v>22</v>
      </c>
      <c r="B26" s="12" t="s">
        <v>22</v>
      </c>
      <c r="C26" s="21" t="s">
        <v>8</v>
      </c>
      <c r="D26" s="39">
        <v>1440</v>
      </c>
      <c r="E26" s="40">
        <v>2</v>
      </c>
      <c r="F26" s="65">
        <f t="shared" si="2"/>
        <v>2880</v>
      </c>
      <c r="G26" s="65">
        <f t="shared" si="1"/>
        <v>10.017391304347827</v>
      </c>
    </row>
    <row r="27" spans="1:7" s="5" customFormat="1" ht="14.4" x14ac:dyDescent="0.3">
      <c r="A27" s="8" t="s">
        <v>23</v>
      </c>
      <c r="B27" s="12" t="s">
        <v>24</v>
      </c>
      <c r="C27" s="21" t="s">
        <v>25</v>
      </c>
      <c r="D27" s="39">
        <v>1</v>
      </c>
      <c r="E27" s="39">
        <v>250</v>
      </c>
      <c r="F27" s="65">
        <f t="shared" si="2"/>
        <v>250</v>
      </c>
      <c r="G27" s="65">
        <f t="shared" si="1"/>
        <v>0.86956521739130432</v>
      </c>
    </row>
    <row r="28" spans="1:7" s="5" customFormat="1" ht="14.4" x14ac:dyDescent="0.3">
      <c r="A28" s="8"/>
      <c r="B28" s="12" t="s">
        <v>23</v>
      </c>
      <c r="C28" s="21" t="s">
        <v>25</v>
      </c>
      <c r="D28" s="22">
        <v>1</v>
      </c>
      <c r="E28" s="39">
        <v>460</v>
      </c>
      <c r="F28" s="65">
        <f>PRODUCT(D28*E28)</f>
        <v>460</v>
      </c>
      <c r="G28" s="65">
        <f t="shared" si="1"/>
        <v>1.6</v>
      </c>
    </row>
    <row r="29" spans="1:7" s="5" customFormat="1" ht="14.4" x14ac:dyDescent="0.3">
      <c r="A29" s="8" t="s">
        <v>26</v>
      </c>
      <c r="C29" s="86" t="s">
        <v>27</v>
      </c>
      <c r="D29" s="59">
        <v>12</v>
      </c>
      <c r="E29" s="87">
        <v>300</v>
      </c>
      <c r="F29" s="65">
        <f>D29*E29</f>
        <v>3600</v>
      </c>
      <c r="G29" s="65">
        <f t="shared" si="1"/>
        <v>12.521739130434783</v>
      </c>
    </row>
    <row r="30" spans="1:7" s="8" customFormat="1" ht="15" thickBot="1" x14ac:dyDescent="0.35">
      <c r="A30" s="45" t="s">
        <v>28</v>
      </c>
      <c r="B30" s="45"/>
      <c r="C30" s="49"/>
      <c r="D30" s="49"/>
      <c r="E30" s="51"/>
      <c r="F30" s="70">
        <f>SUM(F18:F29)</f>
        <v>18400.099999999999</v>
      </c>
      <c r="G30" s="77">
        <f>F30/(($C$6+$C$7)/2)</f>
        <v>64.000347826086951</v>
      </c>
    </row>
    <row r="31" spans="1:7" s="5" customFormat="1" ht="14.4" x14ac:dyDescent="0.3">
      <c r="C31" s="9"/>
      <c r="D31" s="9"/>
      <c r="E31" s="41"/>
      <c r="F31" s="13"/>
      <c r="G31" s="36"/>
    </row>
    <row r="32" spans="1:7" s="5" customFormat="1" ht="15" thickBot="1" x14ac:dyDescent="0.35">
      <c r="A32" s="45" t="s">
        <v>29</v>
      </c>
      <c r="B32" s="46"/>
      <c r="C32" s="62"/>
      <c r="D32" s="62"/>
      <c r="E32" s="83"/>
      <c r="F32" s="66">
        <f>F15-F30</f>
        <v>-5455.582124999999</v>
      </c>
      <c r="G32" s="66">
        <f>G15-G30</f>
        <v>-18.975937826086955</v>
      </c>
    </row>
    <row r="33" spans="1:7" s="5" customFormat="1" ht="14.4" x14ac:dyDescent="0.3">
      <c r="A33" s="8"/>
      <c r="C33" s="9"/>
      <c r="D33" s="9"/>
      <c r="E33" s="41"/>
      <c r="F33" s="14"/>
      <c r="G33" s="36"/>
    </row>
    <row r="34" spans="1:7" s="5" customFormat="1" ht="15" thickBot="1" x14ac:dyDescent="0.35">
      <c r="A34" s="45" t="s">
        <v>30</v>
      </c>
      <c r="B34" s="46"/>
      <c r="C34" s="47" t="s">
        <v>4</v>
      </c>
      <c r="D34" s="47" t="s">
        <v>5</v>
      </c>
      <c r="E34" s="50" t="s">
        <v>6</v>
      </c>
      <c r="F34" s="48" t="s">
        <v>7</v>
      </c>
      <c r="G34" s="49" t="s">
        <v>45</v>
      </c>
    </row>
    <row r="35" spans="1:7" s="5" customFormat="1" ht="14.4" hidden="1" x14ac:dyDescent="0.3">
      <c r="B35" s="5" t="s">
        <v>31</v>
      </c>
      <c r="C35" s="21"/>
      <c r="D35" s="22">
        <v>1</v>
      </c>
      <c r="E35" s="40">
        <v>0</v>
      </c>
      <c r="F35" s="11">
        <f>PRODUCT(D35*E35)</f>
        <v>0</v>
      </c>
      <c r="G35" s="36"/>
    </row>
    <row r="36" spans="1:7" s="5" customFormat="1" ht="14.4" x14ac:dyDescent="0.3">
      <c r="A36" s="8" t="s">
        <v>32</v>
      </c>
      <c r="B36" s="5" t="s">
        <v>73</v>
      </c>
      <c r="C36" s="21" t="s">
        <v>33</v>
      </c>
      <c r="D36" s="22">
        <v>25</v>
      </c>
      <c r="E36" s="39">
        <v>20000</v>
      </c>
      <c r="F36" s="67">
        <f>E36/D36</f>
        <v>800</v>
      </c>
      <c r="G36" s="67">
        <f t="shared" si="1"/>
        <v>2.7826086956521738</v>
      </c>
    </row>
    <row r="37" spans="1:7" s="5" customFormat="1" ht="14.4" x14ac:dyDescent="0.3">
      <c r="A37" s="8"/>
      <c r="B37" s="5" t="s">
        <v>34</v>
      </c>
      <c r="C37" s="21" t="s">
        <v>25</v>
      </c>
      <c r="D37" s="22">
        <v>1</v>
      </c>
      <c r="E37" s="56">
        <v>200</v>
      </c>
      <c r="F37" s="67">
        <f>PRODUCT(D37*E37)</f>
        <v>200</v>
      </c>
      <c r="G37" s="67">
        <f>F37/(($C$6+$C$7)/2)</f>
        <v>0.69565217391304346</v>
      </c>
    </row>
    <row r="38" spans="1:7" s="5" customFormat="1" ht="14.4" x14ac:dyDescent="0.3">
      <c r="A38" s="8" t="s">
        <v>49</v>
      </c>
      <c r="B38" s="5" t="s">
        <v>74</v>
      </c>
      <c r="C38" s="21"/>
      <c r="D38" s="27">
        <v>0.05</v>
      </c>
      <c r="E38" s="56">
        <v>20000</v>
      </c>
      <c r="F38" s="67">
        <f>(E38/2)*D38</f>
        <v>500</v>
      </c>
      <c r="G38" s="67">
        <f t="shared" si="1"/>
        <v>1.7391304347826086</v>
      </c>
    </row>
    <row r="39" spans="1:7" s="5" customFormat="1" ht="14.4" x14ac:dyDescent="0.3">
      <c r="B39" s="5" t="s">
        <v>35</v>
      </c>
      <c r="C39" s="21">
        <v>0.5</v>
      </c>
      <c r="D39" s="90">
        <f>SUM(F19:F29,F37)</f>
        <v>14600.1</v>
      </c>
      <c r="E39" s="57">
        <v>0.05</v>
      </c>
      <c r="F39" s="67">
        <f>E39*(D39*C39)</f>
        <v>365.00250000000005</v>
      </c>
      <c r="G39" s="67">
        <f t="shared" si="1"/>
        <v>1.2695739130434784</v>
      </c>
    </row>
    <row r="40" spans="1:7" s="5" customFormat="1" ht="14.4" x14ac:dyDescent="0.3">
      <c r="B40" s="5" t="s">
        <v>36</v>
      </c>
      <c r="C40" s="86">
        <v>1</v>
      </c>
      <c r="D40" s="90">
        <f>(E18+(F10*5))/2</f>
        <v>19100</v>
      </c>
      <c r="E40" s="55">
        <v>0.05</v>
      </c>
      <c r="F40" s="67">
        <f>E40*(D40*C40)</f>
        <v>955</v>
      </c>
      <c r="G40" s="67">
        <f t="shared" si="1"/>
        <v>3.3217391304347825</v>
      </c>
    </row>
    <row r="41" spans="1:7" s="5" customFormat="1" ht="15" thickBot="1" x14ac:dyDescent="0.35">
      <c r="A41" s="45" t="s">
        <v>37</v>
      </c>
      <c r="B41" s="45"/>
      <c r="C41" s="49"/>
      <c r="D41" s="49"/>
      <c r="E41" s="49"/>
      <c r="F41" s="71">
        <f>SUM(F35:F40)</f>
        <v>2820.0025000000001</v>
      </c>
      <c r="G41" s="76">
        <f t="shared" si="1"/>
        <v>9.8087043478260867</v>
      </c>
    </row>
    <row r="42" spans="1:7" s="5" customFormat="1" ht="14.4" x14ac:dyDescent="0.3">
      <c r="C42" s="9"/>
      <c r="D42" s="9"/>
      <c r="E42" s="9"/>
      <c r="F42" s="20"/>
      <c r="G42" s="53"/>
    </row>
    <row r="43" spans="1:7" s="5" customFormat="1" ht="15" thickBot="1" x14ac:dyDescent="0.35">
      <c r="A43" s="84" t="s">
        <v>38</v>
      </c>
      <c r="B43" s="46"/>
      <c r="C43" s="62"/>
      <c r="D43" s="62"/>
      <c r="E43" s="85"/>
      <c r="F43" s="66">
        <f>F15-F30-F41</f>
        <v>-8275.5846249999995</v>
      </c>
      <c r="G43" s="66">
        <f t="shared" si="1"/>
        <v>-28.784642173913042</v>
      </c>
    </row>
    <row r="44" spans="1:7" s="5" customFormat="1" ht="15" thickBot="1" x14ac:dyDescent="0.35">
      <c r="A44" s="8"/>
      <c r="C44" s="9"/>
      <c r="D44" s="9"/>
      <c r="E44" s="9"/>
      <c r="F44" s="11"/>
      <c r="G44" s="9"/>
    </row>
    <row r="45" spans="1:7" s="5" customFormat="1" ht="15" thickBot="1" x14ac:dyDescent="0.35">
      <c r="A45" s="17" t="s">
        <v>50</v>
      </c>
      <c r="B45" s="18"/>
      <c r="C45" s="28"/>
      <c r="D45" s="28"/>
      <c r="E45" s="28"/>
      <c r="F45" s="19">
        <f>(F30+F41)/((C6+C7)/2)</f>
        <v>73.809052173913031</v>
      </c>
      <c r="G45" s="9"/>
    </row>
    <row r="46" spans="1:7" s="5" customFormat="1" ht="14.4" x14ac:dyDescent="0.3">
      <c r="A46" s="8"/>
      <c r="C46" s="9"/>
      <c r="D46" s="9"/>
      <c r="E46" s="9"/>
      <c r="F46" s="61"/>
      <c r="G46" s="9"/>
    </row>
    <row r="47" spans="1:7" s="5" customFormat="1" ht="15" thickBot="1" x14ac:dyDescent="0.35">
      <c r="A47" s="45" t="s">
        <v>67</v>
      </c>
      <c r="B47" s="46"/>
      <c r="C47" s="47" t="s">
        <v>4</v>
      </c>
      <c r="D47" s="47" t="s">
        <v>5</v>
      </c>
      <c r="E47" s="47" t="s">
        <v>6</v>
      </c>
      <c r="F47" s="79" t="s">
        <v>7</v>
      </c>
      <c r="G47" s="49" t="s">
        <v>45</v>
      </c>
    </row>
    <row r="48" spans="1:7" s="5" customFormat="1" ht="14.4" x14ac:dyDescent="0.3">
      <c r="A48" s="8"/>
      <c r="B48" s="5" t="s">
        <v>68</v>
      </c>
      <c r="C48" s="54" t="s">
        <v>69</v>
      </c>
      <c r="D48" s="9">
        <v>0</v>
      </c>
      <c r="E48" s="90">
        <f>143.51*C4</f>
        <v>1655.0290749999999</v>
      </c>
      <c r="F48" s="72">
        <f>PRODUCT(D48*E48)</f>
        <v>0</v>
      </c>
      <c r="G48" s="75">
        <f>F48/(($C$6+$C$7)/2)</f>
        <v>0</v>
      </c>
    </row>
    <row r="49" spans="1:7" s="5" customFormat="1" ht="14.4" x14ac:dyDescent="0.3">
      <c r="B49" s="5" t="s">
        <v>70</v>
      </c>
      <c r="C49" s="21" t="s">
        <v>69</v>
      </c>
      <c r="D49" s="94">
        <v>0</v>
      </c>
      <c r="E49" s="96">
        <v>0</v>
      </c>
      <c r="F49" s="72">
        <f>PRODUCT(D49*E49)</f>
        <v>0</v>
      </c>
      <c r="G49" s="75">
        <f>F49/(($C$6+$C$7)/2)</f>
        <v>0</v>
      </c>
    </row>
    <row r="50" spans="1:7" s="5" customFormat="1" ht="14.4" x14ac:dyDescent="0.3">
      <c r="A50" s="8"/>
      <c r="B50" s="5" t="s">
        <v>39</v>
      </c>
      <c r="C50" s="21" t="s">
        <v>69</v>
      </c>
      <c r="D50" s="94">
        <v>0</v>
      </c>
      <c r="E50" s="96">
        <v>1850</v>
      </c>
      <c r="F50" s="72">
        <f>PRODUCT(D50*E50)</f>
        <v>0</v>
      </c>
      <c r="G50" s="75">
        <f>F50/(($C$6+$C$7)/2)</f>
        <v>0</v>
      </c>
    </row>
    <row r="51" spans="1:7" s="5" customFormat="1" ht="14.4" x14ac:dyDescent="0.3">
      <c r="A51" s="8"/>
      <c r="B51" s="5" t="s">
        <v>40</v>
      </c>
      <c r="C51" s="86" t="s">
        <v>69</v>
      </c>
      <c r="D51" s="94">
        <v>0</v>
      </c>
      <c r="E51" s="96">
        <v>3950</v>
      </c>
      <c r="F51" s="68">
        <f>PRODUCT(D51*E51)</f>
        <v>0</v>
      </c>
      <c r="G51" s="75">
        <f>F51/(($C$6+$C$7)/2)</f>
        <v>0</v>
      </c>
    </row>
    <row r="52" spans="1:7" s="8" customFormat="1" ht="15" thickBot="1" x14ac:dyDescent="0.35">
      <c r="A52" s="45" t="s">
        <v>65</v>
      </c>
      <c r="B52" s="45"/>
      <c r="C52" s="95"/>
      <c r="D52" s="88"/>
      <c r="E52" s="49"/>
      <c r="F52" s="73">
        <f>SUM(F49:F51)</f>
        <v>0</v>
      </c>
      <c r="G52" s="74">
        <f>F52/(($C$6+$C$7)/2)</f>
        <v>0</v>
      </c>
    </row>
    <row r="53" spans="1:7" s="8" customFormat="1" ht="15" thickBot="1" x14ac:dyDescent="0.35">
      <c r="C53" s="30"/>
      <c r="D53" s="29"/>
      <c r="E53" s="30"/>
      <c r="F53" s="14"/>
      <c r="G53" s="52"/>
    </row>
    <row r="54" spans="1:7" s="5" customFormat="1" ht="15" thickBot="1" x14ac:dyDescent="0.35">
      <c r="A54" s="17" t="s">
        <v>51</v>
      </c>
      <c r="B54" s="18"/>
      <c r="C54" s="28"/>
      <c r="D54" s="28"/>
      <c r="E54" s="28"/>
      <c r="F54" s="19">
        <f>F45-G48-G49-G50-G51</f>
        <v>73.809052173913031</v>
      </c>
      <c r="G54" s="9"/>
    </row>
    <row r="55" spans="1:7" s="5" customFormat="1" ht="14.4" x14ac:dyDescent="0.3">
      <c r="A55" s="8"/>
      <c r="C55" s="9"/>
      <c r="D55" s="9"/>
      <c r="E55" s="9"/>
      <c r="F55" s="61"/>
      <c r="G55" s="9"/>
    </row>
    <row r="56" spans="1:7" s="5" customFormat="1" ht="14.4" x14ac:dyDescent="0.3">
      <c r="A56" s="8"/>
      <c r="C56" s="9"/>
      <c r="D56" s="9"/>
      <c r="E56" s="9"/>
      <c r="F56" s="61"/>
      <c r="G56" s="9"/>
    </row>
    <row r="57" spans="1:7" s="5" customFormat="1" ht="14.4" x14ac:dyDescent="0.3">
      <c r="A57" s="8"/>
      <c r="C57" s="9"/>
      <c r="D57" s="9"/>
      <c r="E57" s="9"/>
      <c r="F57" s="61"/>
      <c r="G57" s="9"/>
    </row>
    <row r="58" spans="1:7" s="5" customFormat="1" ht="14.4" x14ac:dyDescent="0.3">
      <c r="A58" s="8"/>
      <c r="C58" s="9"/>
      <c r="D58" s="9"/>
      <c r="E58" s="9"/>
      <c r="F58" s="61"/>
      <c r="G58" s="9"/>
    </row>
    <row r="59" spans="1:7" x14ac:dyDescent="0.3">
      <c r="A59" s="89" t="s">
        <v>78</v>
      </c>
      <c r="B59" s="99"/>
      <c r="C59" s="34" t="s">
        <v>41</v>
      </c>
      <c r="D59" s="34" t="s">
        <v>45</v>
      </c>
      <c r="E59" s="4"/>
      <c r="F59" s="4"/>
      <c r="G59" s="4"/>
    </row>
    <row r="60" spans="1:7" x14ac:dyDescent="0.3">
      <c r="A60" s="8" t="str">
        <f>A18</f>
        <v>Inköp djur</v>
      </c>
      <c r="C60" s="13">
        <f>F18</f>
        <v>4000</v>
      </c>
      <c r="D60" s="13">
        <f>G18</f>
        <v>13.913043478260869</v>
      </c>
      <c r="E60" s="4"/>
      <c r="F60" s="4"/>
      <c r="G60" s="4"/>
    </row>
    <row r="61" spans="1:7" x14ac:dyDescent="0.3">
      <c r="A61" s="44" t="str">
        <f>A19</f>
        <v>Foder</v>
      </c>
      <c r="C61" s="13">
        <f>SUM(F19:F24)</f>
        <v>5572.1</v>
      </c>
      <c r="D61" s="13">
        <f>SUM(G19:G24)</f>
        <v>19.38121739130435</v>
      </c>
      <c r="E61" s="4"/>
      <c r="F61" s="4"/>
      <c r="G61" s="4"/>
    </row>
    <row r="62" spans="1:7" ht="16.2" customHeight="1" x14ac:dyDescent="0.3">
      <c r="A62" s="44" t="str">
        <f>A25</f>
        <v>Foderberedning</v>
      </c>
      <c r="C62" s="13">
        <f>SUM(F25)</f>
        <v>1638</v>
      </c>
      <c r="D62" s="13">
        <f>SUM(G25)</f>
        <v>5.6973913043478257</v>
      </c>
      <c r="E62" s="4"/>
      <c r="F62" s="4"/>
      <c r="G62" s="4"/>
    </row>
    <row r="63" spans="1:7" x14ac:dyDescent="0.3">
      <c r="A63" s="8" t="str">
        <f>A26</f>
        <v>Strö</v>
      </c>
      <c r="C63" s="13">
        <f>SUM(F26)</f>
        <v>2880</v>
      </c>
      <c r="D63" s="13">
        <f>SUM(G26)</f>
        <v>10.017391304347827</v>
      </c>
      <c r="E63" s="4"/>
      <c r="F63" s="4"/>
      <c r="G63" s="4"/>
    </row>
    <row r="64" spans="1:7" x14ac:dyDescent="0.3">
      <c r="A64" s="8" t="str">
        <f>A27</f>
        <v>Diverse</v>
      </c>
      <c r="C64" s="13">
        <f>SUM(F27:F28)</f>
        <v>710</v>
      </c>
      <c r="D64" s="13">
        <f>SUM(G27:G28)</f>
        <v>2.4695652173913043</v>
      </c>
      <c r="E64" s="4"/>
      <c r="F64" s="4"/>
      <c r="G64" s="4"/>
    </row>
    <row r="65" spans="1:7" x14ac:dyDescent="0.3">
      <c r="A65" s="8" t="str">
        <f>A29</f>
        <v>Arbete</v>
      </c>
      <c r="C65" s="13">
        <f>SUM(F29)</f>
        <v>3600</v>
      </c>
      <c r="D65" s="13">
        <f>SUM(G29)</f>
        <v>12.521739130434783</v>
      </c>
      <c r="E65" s="4"/>
      <c r="F65" s="4"/>
      <c r="G65" s="4"/>
    </row>
    <row r="66" spans="1:7" x14ac:dyDescent="0.3">
      <c r="A66" s="8" t="str">
        <f>A36</f>
        <v>Byggnader</v>
      </c>
      <c r="C66" s="13">
        <f>SUM(F36:F37)</f>
        <v>1000</v>
      </c>
      <c r="D66" s="13">
        <f>SUM(G36:G37)</f>
        <v>3.4782608695652173</v>
      </c>
      <c r="E66" s="4"/>
      <c r="F66" s="4"/>
      <c r="G66" s="4"/>
    </row>
    <row r="67" spans="1:7" x14ac:dyDescent="0.3">
      <c r="A67" s="89" t="str">
        <f>A38</f>
        <v>Ränta</v>
      </c>
      <c r="B67" s="89"/>
      <c r="C67" s="109">
        <f>SUM(F38:F40)</f>
        <v>1820.0025000000001</v>
      </c>
      <c r="D67" s="109">
        <f>SUM(G38:G40)</f>
        <v>6.3304434782608698</v>
      </c>
      <c r="E67" s="4"/>
      <c r="F67" s="4"/>
      <c r="G67" s="4"/>
    </row>
    <row r="68" spans="1:7" x14ac:dyDescent="0.3">
      <c r="A68" s="8"/>
      <c r="B68" s="100" t="s">
        <v>66</v>
      </c>
      <c r="C68" s="13">
        <f>SUM(C60:C67)</f>
        <v>21220.102499999997</v>
      </c>
      <c r="D68" s="110">
        <f>SUM(D60:D67)</f>
        <v>73.809052173913059</v>
      </c>
      <c r="E68" s="9"/>
      <c r="F68" s="11"/>
      <c r="G68" s="36"/>
    </row>
    <row r="69" spans="1:7" x14ac:dyDescent="0.3">
      <c r="A69" s="8"/>
      <c r="B69" s="5"/>
      <c r="C69" s="9"/>
      <c r="D69" s="9"/>
      <c r="E69" s="9"/>
      <c r="F69" s="10"/>
      <c r="G69" s="9"/>
    </row>
  </sheetData>
  <mergeCells count="1">
    <mergeCell ref="A2:G2"/>
  </mergeCells>
  <dataValidations disablePrompts="1" count="1">
    <dataValidation type="list" allowBlank="1" showInputMessage="1" showErrorMessage="1" sqref="C5" xr:uid="{00000000-0002-0000-0000-000000000000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4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8" max="16383" man="1"/>
  </rowBreaks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DABCD4-65E5-4602-8D8B-D5DCD115A04E}">
  <sheetPr>
    <tabColor rgb="FFFFCC10"/>
  </sheetPr>
  <dimension ref="A2:G70"/>
  <sheetViews>
    <sheetView showGridLines="0" zoomScaleNormal="100" workbookViewId="0">
      <selection activeCell="C4" sqref="C4"/>
    </sheetView>
  </sheetViews>
  <sheetFormatPr defaultColWidth="9.109375" defaultRowHeight="15.6" x14ac:dyDescent="0.3"/>
  <cols>
    <col min="1" max="1" width="11.6640625" style="4" customWidth="1"/>
    <col min="2" max="2" width="36.21875" style="4" bestFit="1" customWidth="1"/>
    <col min="3" max="3" width="9.6640625" style="15" customWidth="1"/>
    <col min="4" max="4" width="7.88671875" style="15" customWidth="1"/>
    <col min="5" max="5" width="7.44140625" style="15" customWidth="1"/>
    <col min="6" max="6" width="9.88671875" style="16" bestFit="1" customWidth="1"/>
    <col min="7" max="7" width="10.6640625" style="15" customWidth="1"/>
    <col min="8" max="8" width="9.109375" style="4"/>
    <col min="9" max="9" width="8.44140625" style="4" customWidth="1"/>
    <col min="10" max="16384" width="9.109375" style="4"/>
  </cols>
  <sheetData>
    <row r="2" spans="1:7" x14ac:dyDescent="0.3">
      <c r="A2" s="111" t="s">
        <v>64</v>
      </c>
      <c r="B2" s="111"/>
      <c r="C2" s="111"/>
      <c r="D2" s="111"/>
      <c r="E2" s="111"/>
      <c r="F2" s="111"/>
      <c r="G2" s="111"/>
    </row>
    <row r="3" spans="1:7" x14ac:dyDescent="0.3">
      <c r="A3" s="6"/>
      <c r="D3" s="4"/>
      <c r="E3" s="31"/>
      <c r="F3" s="31"/>
    </row>
    <row r="4" spans="1:7" s="7" customFormat="1" ht="14.4" x14ac:dyDescent="0.3">
      <c r="B4" s="33" t="s">
        <v>1</v>
      </c>
      <c r="C4" s="91">
        <v>11.532500000000001</v>
      </c>
      <c r="E4" s="9"/>
      <c r="F4" s="5"/>
      <c r="G4" s="35"/>
    </row>
    <row r="5" spans="1:7" s="5" customFormat="1" ht="15" hidden="1" customHeight="1" x14ac:dyDescent="0.3">
      <c r="A5" s="8"/>
      <c r="B5" s="33" t="s">
        <v>2</v>
      </c>
      <c r="C5" s="32">
        <v>0</v>
      </c>
      <c r="E5" s="9"/>
      <c r="G5" s="9"/>
    </row>
    <row r="6" spans="1:7" s="5" customFormat="1" ht="14.4" x14ac:dyDescent="0.3">
      <c r="B6" s="33" t="s">
        <v>42</v>
      </c>
      <c r="C6" s="32">
        <v>275</v>
      </c>
      <c r="D6" s="33" t="s">
        <v>43</v>
      </c>
      <c r="E6" s="38">
        <v>29</v>
      </c>
      <c r="G6" s="9"/>
    </row>
    <row r="7" spans="1:7" s="5" customFormat="1" ht="14.4" x14ac:dyDescent="0.3">
      <c r="B7" s="33" t="s">
        <v>44</v>
      </c>
      <c r="C7" s="32">
        <v>300</v>
      </c>
      <c r="D7" s="33" t="s">
        <v>43</v>
      </c>
      <c r="E7" s="38">
        <v>32</v>
      </c>
      <c r="G7" s="9"/>
    </row>
    <row r="8" spans="1:7" s="5" customFormat="1" ht="14.4" x14ac:dyDescent="0.3">
      <c r="C8" s="9"/>
      <c r="D8" s="9"/>
      <c r="E8" s="9"/>
      <c r="F8" s="10"/>
      <c r="G8" s="9"/>
    </row>
    <row r="9" spans="1:7" s="5" customFormat="1" ht="15" thickBot="1" x14ac:dyDescent="0.35">
      <c r="A9" s="45" t="s">
        <v>3</v>
      </c>
      <c r="B9" s="46"/>
      <c r="C9" s="47" t="s">
        <v>4</v>
      </c>
      <c r="D9" s="47" t="s">
        <v>5</v>
      </c>
      <c r="E9" s="47" t="s">
        <v>6</v>
      </c>
      <c r="F9" s="48" t="s">
        <v>7</v>
      </c>
      <c r="G9" s="49" t="s">
        <v>45</v>
      </c>
    </row>
    <row r="10" spans="1:7" s="5" customFormat="1" ht="14.4" x14ac:dyDescent="0.3">
      <c r="B10" s="5" t="s">
        <v>46</v>
      </c>
      <c r="C10" s="21" t="s">
        <v>8</v>
      </c>
      <c r="D10" s="22">
        <v>70</v>
      </c>
      <c r="E10" s="40">
        <v>50</v>
      </c>
      <c r="F10" s="64">
        <f t="shared" ref="F10:F12" si="0">PRODUCT(D10*E10)</f>
        <v>3500</v>
      </c>
      <c r="G10" s="64">
        <f>F10/(($C$6+$C$7)/2)</f>
        <v>12.173913043478262</v>
      </c>
    </row>
    <row r="11" spans="1:7" s="5" customFormat="1" ht="14.4" x14ac:dyDescent="0.3">
      <c r="B11" s="5" t="s">
        <v>47</v>
      </c>
      <c r="C11" s="21" t="s">
        <v>8</v>
      </c>
      <c r="D11" s="93">
        <f>D10</f>
        <v>70</v>
      </c>
      <c r="E11" s="40"/>
      <c r="F11" s="64">
        <f t="shared" si="0"/>
        <v>0</v>
      </c>
      <c r="G11" s="64">
        <f>F11/(($C$6+$C$7)/2)</f>
        <v>0</v>
      </c>
    </row>
    <row r="12" spans="1:7" s="5" customFormat="1" ht="14.4" x14ac:dyDescent="0.3">
      <c r="B12" s="5" t="s">
        <v>48</v>
      </c>
      <c r="C12" s="21"/>
      <c r="D12" s="23">
        <v>0.94</v>
      </c>
      <c r="E12" s="90">
        <f>0.5*C6*E6+0.5*C7*E7</f>
        <v>8787.5</v>
      </c>
      <c r="F12" s="64">
        <f t="shared" si="0"/>
        <v>8260.25</v>
      </c>
      <c r="G12" s="64">
        <f t="shared" ref="G12:G40" si="1">F12/(($C$6+$C$7)/2)</f>
        <v>28.731304347826086</v>
      </c>
    </row>
    <row r="13" spans="1:7" s="5" customFormat="1" ht="14.4" x14ac:dyDescent="0.3">
      <c r="A13" s="8" t="s">
        <v>9</v>
      </c>
      <c r="B13" s="5" t="s">
        <v>10</v>
      </c>
      <c r="C13" s="21" t="s">
        <v>71</v>
      </c>
      <c r="D13" s="24">
        <v>1</v>
      </c>
      <c r="E13" s="90">
        <f>90.55*C4</f>
        <v>1044.267875</v>
      </c>
      <c r="F13" s="64">
        <f>D13*E13</f>
        <v>1044.267875</v>
      </c>
      <c r="G13" s="64">
        <f t="shared" si="1"/>
        <v>3.6322360869565218</v>
      </c>
    </row>
    <row r="14" spans="1:7" s="5" customFormat="1" ht="14.4" x14ac:dyDescent="0.3">
      <c r="B14" s="5" t="s">
        <v>72</v>
      </c>
      <c r="C14" s="21" t="s">
        <v>69</v>
      </c>
      <c r="D14" s="24">
        <v>0</v>
      </c>
      <c r="E14" s="97">
        <f>177*C4</f>
        <v>2041.2525000000001</v>
      </c>
      <c r="F14" s="64">
        <f>D14*E14</f>
        <v>0</v>
      </c>
      <c r="G14" s="64">
        <f>F14/(($C$6+$C$7)/2)</f>
        <v>0</v>
      </c>
    </row>
    <row r="15" spans="1:7" s="8" customFormat="1" ht="15" thickBot="1" x14ac:dyDescent="0.35">
      <c r="A15" s="45" t="s">
        <v>11</v>
      </c>
      <c r="B15" s="45"/>
      <c r="C15" s="49"/>
      <c r="D15" s="49"/>
      <c r="E15" s="51"/>
      <c r="F15" s="69">
        <f>SUM(F10:F14)</f>
        <v>12804.517875</v>
      </c>
      <c r="G15" s="78">
        <f t="shared" si="1"/>
        <v>44.537453478260865</v>
      </c>
    </row>
    <row r="16" spans="1:7" s="5" customFormat="1" ht="14.4" x14ac:dyDescent="0.3">
      <c r="B16" s="9"/>
      <c r="C16" s="9"/>
      <c r="D16" s="9"/>
      <c r="E16" s="41"/>
      <c r="F16" s="11"/>
      <c r="G16" s="36"/>
    </row>
    <row r="17" spans="1:7" s="5" customFormat="1" ht="15" thickBot="1" x14ac:dyDescent="0.35">
      <c r="A17" s="45" t="s">
        <v>12</v>
      </c>
      <c r="B17" s="46"/>
      <c r="C17" s="47" t="s">
        <v>4</v>
      </c>
      <c r="D17" s="47" t="s">
        <v>5</v>
      </c>
      <c r="E17" s="50" t="s">
        <v>6</v>
      </c>
      <c r="F17" s="48" t="s">
        <v>7</v>
      </c>
      <c r="G17" s="49" t="s">
        <v>45</v>
      </c>
    </row>
    <row r="18" spans="1:7" s="5" customFormat="1" ht="14.4" x14ac:dyDescent="0.3">
      <c r="A18" s="8" t="s">
        <v>13</v>
      </c>
      <c r="B18" s="5" t="s">
        <v>0</v>
      </c>
      <c r="C18" s="21" t="s">
        <v>8</v>
      </c>
      <c r="D18" s="22">
        <v>0.2</v>
      </c>
      <c r="E18" s="96">
        <v>20000</v>
      </c>
      <c r="F18" s="65">
        <f>PRODUCT(D18*E18)</f>
        <v>4000</v>
      </c>
      <c r="G18" s="65">
        <f t="shared" si="1"/>
        <v>13.913043478260869</v>
      </c>
    </row>
    <row r="19" spans="1:7" s="5" customFormat="1" ht="14.4" x14ac:dyDescent="0.3">
      <c r="A19" s="8" t="s">
        <v>14</v>
      </c>
      <c r="B19" s="12" t="s">
        <v>15</v>
      </c>
      <c r="C19" s="21" t="s">
        <v>16</v>
      </c>
      <c r="D19" s="39">
        <v>2700</v>
      </c>
      <c r="E19" s="40">
        <v>2</v>
      </c>
      <c r="F19" s="65">
        <f t="shared" ref="F19:F27" si="2">PRODUCT(D19*E19)</f>
        <v>5400</v>
      </c>
      <c r="G19" s="65">
        <f t="shared" si="1"/>
        <v>18.782608695652176</v>
      </c>
    </row>
    <row r="20" spans="1:7" s="5" customFormat="1" ht="14.4" x14ac:dyDescent="0.3">
      <c r="A20" s="8"/>
      <c r="B20" s="12" t="s">
        <v>17</v>
      </c>
      <c r="C20" s="21" t="s">
        <v>16</v>
      </c>
      <c r="D20" s="39">
        <v>1000</v>
      </c>
      <c r="E20" s="40">
        <v>0.6</v>
      </c>
      <c r="F20" s="65">
        <f t="shared" si="2"/>
        <v>600</v>
      </c>
      <c r="G20" s="65">
        <f t="shared" si="1"/>
        <v>2.0869565217391304</v>
      </c>
    </row>
    <row r="21" spans="1:7" s="5" customFormat="1" ht="14.4" x14ac:dyDescent="0.3">
      <c r="A21" s="8"/>
      <c r="B21" s="12" t="s">
        <v>18</v>
      </c>
      <c r="C21" s="21"/>
      <c r="D21" s="22"/>
      <c r="E21" s="40"/>
      <c r="F21" s="65">
        <f>PRODUCT(D21*E21)</f>
        <v>0</v>
      </c>
      <c r="G21" s="65">
        <f t="shared" si="1"/>
        <v>0</v>
      </c>
    </row>
    <row r="22" spans="1:7" s="5" customFormat="1" ht="14.4" x14ac:dyDescent="0.3">
      <c r="A22" s="8"/>
      <c r="B22" s="12" t="s">
        <v>19</v>
      </c>
      <c r="C22" s="21" t="s">
        <v>20</v>
      </c>
      <c r="D22" s="22"/>
      <c r="E22" s="40"/>
      <c r="F22" s="65">
        <f t="shared" si="2"/>
        <v>0</v>
      </c>
      <c r="G22" s="65">
        <f t="shared" si="1"/>
        <v>0</v>
      </c>
    </row>
    <row r="23" spans="1:7" s="5" customFormat="1" ht="14.4" x14ac:dyDescent="0.3">
      <c r="A23" s="8"/>
      <c r="B23" s="12" t="s">
        <v>21</v>
      </c>
      <c r="C23" s="21" t="s">
        <v>20</v>
      </c>
      <c r="D23" s="22">
        <v>37</v>
      </c>
      <c r="E23" s="40">
        <v>13.3</v>
      </c>
      <c r="F23" s="65">
        <f t="shared" si="2"/>
        <v>492.1</v>
      </c>
      <c r="G23" s="65">
        <f t="shared" si="1"/>
        <v>1.7116521739130435</v>
      </c>
    </row>
    <row r="24" spans="1:7" s="5" customFormat="1" ht="14.4" x14ac:dyDescent="0.3">
      <c r="A24" s="8"/>
      <c r="B24" s="12" t="s">
        <v>63</v>
      </c>
      <c r="C24" s="21" t="s">
        <v>8</v>
      </c>
      <c r="D24" s="22"/>
      <c r="E24" s="40"/>
      <c r="F24" s="65">
        <f>PRODUCT(D24*E24)</f>
        <v>0</v>
      </c>
      <c r="G24" s="65">
        <f>F24/(($C$6+$C$7)/2)</f>
        <v>0</v>
      </c>
    </row>
    <row r="25" spans="1:7" s="5" customFormat="1" ht="14.4" x14ac:dyDescent="0.3">
      <c r="A25" s="8" t="s">
        <v>77</v>
      </c>
      <c r="B25" s="12"/>
      <c r="C25" s="21" t="s">
        <v>27</v>
      </c>
      <c r="D25" s="22">
        <v>1.26</v>
      </c>
      <c r="E25" s="39">
        <v>1300</v>
      </c>
      <c r="F25" s="65">
        <f>PRODUCT(D25*E25)</f>
        <v>1638</v>
      </c>
      <c r="G25" s="65">
        <f>F25/(($C$6+$C$7)/2)</f>
        <v>5.6973913043478257</v>
      </c>
    </row>
    <row r="26" spans="1:7" s="5" customFormat="1" ht="14.4" x14ac:dyDescent="0.3">
      <c r="A26" s="8" t="s">
        <v>22</v>
      </c>
      <c r="B26" s="12" t="s">
        <v>22</v>
      </c>
      <c r="C26" s="21" t="s">
        <v>8</v>
      </c>
      <c r="D26" s="39">
        <v>1780</v>
      </c>
      <c r="E26" s="40">
        <v>1.5</v>
      </c>
      <c r="F26" s="65">
        <f t="shared" si="2"/>
        <v>2670</v>
      </c>
      <c r="G26" s="65">
        <f t="shared" si="1"/>
        <v>9.2869565217391301</v>
      </c>
    </row>
    <row r="27" spans="1:7" s="5" customFormat="1" ht="14.4" x14ac:dyDescent="0.3">
      <c r="A27" s="8" t="s">
        <v>23</v>
      </c>
      <c r="B27" s="12" t="s">
        <v>24</v>
      </c>
      <c r="C27" s="21" t="s">
        <v>25</v>
      </c>
      <c r="D27" s="22">
        <v>1</v>
      </c>
      <c r="E27" s="39">
        <v>250</v>
      </c>
      <c r="F27" s="65">
        <f t="shared" si="2"/>
        <v>250</v>
      </c>
      <c r="G27" s="65">
        <f t="shared" si="1"/>
        <v>0.86956521739130432</v>
      </c>
    </row>
    <row r="28" spans="1:7" s="5" customFormat="1" ht="14.4" x14ac:dyDescent="0.3">
      <c r="A28" s="8"/>
      <c r="B28" s="12" t="s">
        <v>23</v>
      </c>
      <c r="C28" s="21" t="s">
        <v>25</v>
      </c>
      <c r="D28" s="22">
        <v>1</v>
      </c>
      <c r="E28" s="39">
        <v>460</v>
      </c>
      <c r="F28" s="65">
        <f>PRODUCT(D28*E28)</f>
        <v>460</v>
      </c>
      <c r="G28" s="65">
        <f t="shared" si="1"/>
        <v>1.6</v>
      </c>
    </row>
    <row r="29" spans="1:7" s="5" customFormat="1" ht="14.4" x14ac:dyDescent="0.3">
      <c r="A29" s="8" t="s">
        <v>26</v>
      </c>
      <c r="C29" s="86" t="s">
        <v>27</v>
      </c>
      <c r="D29" s="59">
        <v>12</v>
      </c>
      <c r="E29" s="87">
        <v>300</v>
      </c>
      <c r="F29" s="65">
        <f>D29*E29</f>
        <v>3600</v>
      </c>
      <c r="G29" s="65">
        <f t="shared" si="1"/>
        <v>12.521739130434783</v>
      </c>
    </row>
    <row r="30" spans="1:7" s="8" customFormat="1" ht="15" thickBot="1" x14ac:dyDescent="0.35">
      <c r="A30" s="45" t="s">
        <v>28</v>
      </c>
      <c r="B30" s="45"/>
      <c r="C30" s="49"/>
      <c r="D30" s="49"/>
      <c r="E30" s="51"/>
      <c r="F30" s="70">
        <f>SUM(F18:F29)</f>
        <v>19110.099999999999</v>
      </c>
      <c r="G30" s="77">
        <f>F30/(($C$6+$C$7)/2)</f>
        <v>66.469913043478257</v>
      </c>
    </row>
    <row r="31" spans="1:7" s="5" customFormat="1" ht="14.4" x14ac:dyDescent="0.3">
      <c r="C31" s="9"/>
      <c r="D31" s="9"/>
      <c r="E31" s="41"/>
      <c r="F31" s="13"/>
      <c r="G31" s="36"/>
    </row>
    <row r="32" spans="1:7" s="5" customFormat="1" ht="15" thickBot="1" x14ac:dyDescent="0.35">
      <c r="A32" s="45" t="s">
        <v>29</v>
      </c>
      <c r="B32" s="46"/>
      <c r="C32" s="62"/>
      <c r="D32" s="62"/>
      <c r="E32" s="63"/>
      <c r="F32" s="98">
        <f>F15-F30</f>
        <v>-6305.582124999999</v>
      </c>
      <c r="G32" s="98">
        <f>G15-G30</f>
        <v>-21.932459565217393</v>
      </c>
    </row>
    <row r="33" spans="1:7" s="5" customFormat="1" ht="14.4" x14ac:dyDescent="0.3">
      <c r="A33" s="8"/>
      <c r="C33" s="9"/>
      <c r="D33" s="9"/>
      <c r="E33" s="41"/>
      <c r="F33" s="14"/>
      <c r="G33" s="36"/>
    </row>
    <row r="34" spans="1:7" s="5" customFormat="1" ht="15" thickBot="1" x14ac:dyDescent="0.35">
      <c r="A34" s="45" t="s">
        <v>30</v>
      </c>
      <c r="B34" s="46"/>
      <c r="C34" s="47" t="s">
        <v>4</v>
      </c>
      <c r="D34" s="47" t="s">
        <v>5</v>
      </c>
      <c r="E34" s="50" t="s">
        <v>6</v>
      </c>
      <c r="F34" s="48" t="s">
        <v>7</v>
      </c>
      <c r="G34" s="49" t="s">
        <v>45</v>
      </c>
    </row>
    <row r="35" spans="1:7" s="5" customFormat="1" ht="14.4" hidden="1" x14ac:dyDescent="0.3">
      <c r="B35" s="5" t="s">
        <v>31</v>
      </c>
      <c r="C35" s="21"/>
      <c r="D35" s="22">
        <v>1</v>
      </c>
      <c r="E35" s="40">
        <v>0</v>
      </c>
      <c r="F35" s="11">
        <f>PRODUCT(D35*E35)</f>
        <v>0</v>
      </c>
      <c r="G35" s="36"/>
    </row>
    <row r="36" spans="1:7" s="5" customFormat="1" ht="14.4" x14ac:dyDescent="0.3">
      <c r="A36" s="8" t="s">
        <v>32</v>
      </c>
      <c r="B36" s="5" t="s">
        <v>73</v>
      </c>
      <c r="C36" s="21" t="s">
        <v>33</v>
      </c>
      <c r="D36" s="22">
        <v>15</v>
      </c>
      <c r="E36" s="39">
        <v>22000</v>
      </c>
      <c r="F36" s="67">
        <f>E36/D36</f>
        <v>1466.6666666666667</v>
      </c>
      <c r="G36" s="67">
        <f t="shared" si="1"/>
        <v>5.1014492753623193</v>
      </c>
    </row>
    <row r="37" spans="1:7" s="5" customFormat="1" ht="14.4" x14ac:dyDescent="0.3">
      <c r="A37" s="8"/>
      <c r="B37" s="5" t="s">
        <v>34</v>
      </c>
      <c r="C37" s="21" t="s">
        <v>25</v>
      </c>
      <c r="D37" s="22">
        <v>1</v>
      </c>
      <c r="E37" s="42">
        <v>200</v>
      </c>
      <c r="F37" s="67">
        <f>PRODUCT(D37*E37)</f>
        <v>200</v>
      </c>
      <c r="G37" s="67">
        <f>F37/(($C$6+$C$7)/2)</f>
        <v>0.69565217391304346</v>
      </c>
    </row>
    <row r="38" spans="1:7" s="5" customFormat="1" ht="14.4" x14ac:dyDescent="0.3">
      <c r="A38" s="8" t="s">
        <v>49</v>
      </c>
      <c r="B38" s="5" t="s">
        <v>74</v>
      </c>
      <c r="C38" s="21"/>
      <c r="D38" s="27">
        <v>0.05</v>
      </c>
      <c r="E38" s="39">
        <v>22000</v>
      </c>
      <c r="F38" s="67">
        <f>(E38/2)*D38</f>
        <v>550</v>
      </c>
      <c r="G38" s="67">
        <f t="shared" si="1"/>
        <v>1.9130434782608696</v>
      </c>
    </row>
    <row r="39" spans="1:7" s="5" customFormat="1" ht="14.4" x14ac:dyDescent="0.3">
      <c r="B39" s="5" t="s">
        <v>35</v>
      </c>
      <c r="C39" s="21">
        <v>0.5</v>
      </c>
      <c r="D39" s="90">
        <f>SUM(F19:F29,F37)</f>
        <v>15310.1</v>
      </c>
      <c r="E39" s="43">
        <v>0.05</v>
      </c>
      <c r="F39" s="67">
        <f>E39*(D39*C39)</f>
        <v>382.75250000000005</v>
      </c>
      <c r="G39" s="67">
        <f t="shared" si="1"/>
        <v>1.331313043478261</v>
      </c>
    </row>
    <row r="40" spans="1:7" s="5" customFormat="1" ht="14.4" x14ac:dyDescent="0.3">
      <c r="B40" s="5" t="s">
        <v>36</v>
      </c>
      <c r="C40" s="86">
        <v>1</v>
      </c>
      <c r="D40" s="90">
        <f>(E18+(F10*5))/2</f>
        <v>18750</v>
      </c>
      <c r="E40" s="60">
        <v>0.05</v>
      </c>
      <c r="F40" s="67">
        <f>E40*(D40*C40)</f>
        <v>937.5</v>
      </c>
      <c r="G40" s="67">
        <f t="shared" si="1"/>
        <v>3.2608695652173911</v>
      </c>
    </row>
    <row r="41" spans="1:7" s="5" customFormat="1" ht="15" thickBot="1" x14ac:dyDescent="0.35">
      <c r="A41" s="45" t="s">
        <v>37</v>
      </c>
      <c r="B41" s="45"/>
      <c r="C41" s="49"/>
      <c r="D41" s="49"/>
      <c r="E41" s="49"/>
      <c r="F41" s="71">
        <f>SUM(F35:F40)</f>
        <v>3536.919166666667</v>
      </c>
      <c r="G41" s="76">
        <f>F41/(($C$6+$C$7)/2)</f>
        <v>12.302327536231886</v>
      </c>
    </row>
    <row r="42" spans="1:7" s="5" customFormat="1" ht="14.4" x14ac:dyDescent="0.3">
      <c r="C42" s="9"/>
      <c r="D42" s="9"/>
      <c r="E42" s="9"/>
      <c r="F42" s="20"/>
      <c r="G42" s="9"/>
    </row>
    <row r="43" spans="1:7" s="5" customFormat="1" ht="15" thickBot="1" x14ac:dyDescent="0.35">
      <c r="A43" s="45" t="s">
        <v>38</v>
      </c>
      <c r="B43" s="46"/>
      <c r="C43" s="62"/>
      <c r="D43" s="62"/>
      <c r="E43" s="62"/>
      <c r="F43" s="98">
        <f>F32-F41</f>
        <v>-9842.5012916666656</v>
      </c>
      <c r="G43" s="98">
        <f>G32-G41</f>
        <v>-34.234787101449278</v>
      </c>
    </row>
    <row r="44" spans="1:7" s="5" customFormat="1" ht="15" thickBot="1" x14ac:dyDescent="0.35">
      <c r="A44" s="8"/>
      <c r="C44" s="9"/>
      <c r="D44" s="9"/>
      <c r="E44" s="9"/>
      <c r="F44" s="11"/>
      <c r="G44" s="9"/>
    </row>
    <row r="45" spans="1:7" s="5" customFormat="1" ht="15" thickBot="1" x14ac:dyDescent="0.35">
      <c r="A45" s="17" t="s">
        <v>50</v>
      </c>
      <c r="B45" s="18"/>
      <c r="C45" s="28"/>
      <c r="D45" s="28"/>
      <c r="E45" s="28"/>
      <c r="F45" s="19">
        <f>(F30+F41)/((C6+C7)/2)</f>
        <v>78.772240579710143</v>
      </c>
      <c r="G45" s="9"/>
    </row>
    <row r="46" spans="1:7" s="5" customFormat="1" ht="14.4" x14ac:dyDescent="0.3">
      <c r="A46" s="8"/>
      <c r="C46" s="9"/>
      <c r="D46" s="9"/>
      <c r="E46" s="9"/>
      <c r="F46" s="11"/>
      <c r="G46" s="9"/>
    </row>
    <row r="47" spans="1:7" s="5" customFormat="1" ht="15" thickBot="1" x14ac:dyDescent="0.35">
      <c r="A47" s="45" t="s">
        <v>67</v>
      </c>
      <c r="B47" s="46"/>
      <c r="C47" s="47" t="s">
        <v>4</v>
      </c>
      <c r="D47" s="47" t="s">
        <v>5</v>
      </c>
      <c r="E47" s="47" t="s">
        <v>6</v>
      </c>
      <c r="F47" s="48" t="s">
        <v>7</v>
      </c>
      <c r="G47" s="49" t="s">
        <v>45</v>
      </c>
    </row>
    <row r="48" spans="1:7" s="5" customFormat="1" ht="14.4" x14ac:dyDescent="0.3">
      <c r="A48" s="8"/>
      <c r="B48" s="5" t="s">
        <v>68</v>
      </c>
      <c r="C48" s="21" t="s">
        <v>69</v>
      </c>
      <c r="D48" s="37">
        <v>0</v>
      </c>
      <c r="E48" s="90">
        <f>143.51*C4</f>
        <v>1655.0290749999999</v>
      </c>
      <c r="F48" s="72">
        <f>PRODUCT(D48*E48)</f>
        <v>0</v>
      </c>
      <c r="G48" s="68">
        <f>F48/(($C$6+$C$7)/2)</f>
        <v>0</v>
      </c>
    </row>
    <row r="49" spans="1:7" s="5" customFormat="1" ht="14.4" x14ac:dyDescent="0.3">
      <c r="B49" s="5" t="s">
        <v>70</v>
      </c>
      <c r="C49" s="21" t="s">
        <v>69</v>
      </c>
      <c r="D49" s="23">
        <v>0</v>
      </c>
      <c r="E49" s="25">
        <v>0</v>
      </c>
      <c r="F49" s="72">
        <f>PRODUCT(D49*E49)</f>
        <v>0</v>
      </c>
      <c r="G49" s="68">
        <f>F49/(($C$6+$C$7)/2)</f>
        <v>0</v>
      </c>
    </row>
    <row r="50" spans="1:7" s="5" customFormat="1" ht="14.4" x14ac:dyDescent="0.3">
      <c r="A50" s="8"/>
      <c r="B50" s="5" t="s">
        <v>39</v>
      </c>
      <c r="C50" s="37" t="s">
        <v>69</v>
      </c>
      <c r="D50" s="23">
        <v>0</v>
      </c>
      <c r="E50" s="96">
        <v>1850</v>
      </c>
      <c r="F50" s="72">
        <f>PRODUCT(D50*E50)</f>
        <v>0</v>
      </c>
      <c r="G50" s="68">
        <f>F50/(($C$6+$C$7)/2)</f>
        <v>0</v>
      </c>
    </row>
    <row r="51" spans="1:7" s="5" customFormat="1" ht="14.4" x14ac:dyDescent="0.3">
      <c r="A51" s="8"/>
      <c r="B51" s="5" t="s">
        <v>40</v>
      </c>
      <c r="C51" s="37" t="s">
        <v>69</v>
      </c>
      <c r="D51" s="23">
        <v>0</v>
      </c>
      <c r="E51" s="96">
        <v>3950</v>
      </c>
      <c r="F51" s="72">
        <f>PRODUCT(D51*E51)</f>
        <v>0</v>
      </c>
      <c r="G51" s="68">
        <f>F51/(($C$6+$C$7)/2)</f>
        <v>0</v>
      </c>
    </row>
    <row r="52" spans="1:7" s="5" customFormat="1" ht="15" thickBot="1" x14ac:dyDescent="0.35">
      <c r="A52" s="45" t="s">
        <v>65</v>
      </c>
      <c r="B52" s="45"/>
      <c r="C52" s="49"/>
      <c r="D52" s="88"/>
      <c r="E52" s="49"/>
      <c r="F52" s="73">
        <f>SUM(F48:F51)</f>
        <v>0</v>
      </c>
      <c r="G52" s="92">
        <f>F52/(($C$6+$C$7)/2)</f>
        <v>0</v>
      </c>
    </row>
    <row r="53" spans="1:7" s="5" customFormat="1" ht="14.4" x14ac:dyDescent="0.3">
      <c r="A53" s="8"/>
      <c r="B53" s="8"/>
      <c r="C53" s="30"/>
      <c r="D53" s="29"/>
      <c r="E53" s="30"/>
      <c r="F53" s="14"/>
      <c r="G53" s="14"/>
    </row>
    <row r="54" spans="1:7" s="5" customFormat="1" ht="15" thickBot="1" x14ac:dyDescent="0.35">
      <c r="A54" s="45" t="s">
        <v>75</v>
      </c>
      <c r="B54" s="46"/>
      <c r="C54" s="62"/>
      <c r="D54" s="62"/>
      <c r="E54" s="62"/>
      <c r="F54" s="98">
        <f>F43+F52</f>
        <v>-9842.5012916666656</v>
      </c>
      <c r="G54" s="98">
        <f>G43+G52</f>
        <v>-34.234787101449278</v>
      </c>
    </row>
    <row r="55" spans="1:7" s="5" customFormat="1" ht="15" thickBot="1" x14ac:dyDescent="0.35">
      <c r="A55" s="8"/>
      <c r="B55" s="8"/>
      <c r="C55" s="30"/>
      <c r="D55" s="29"/>
      <c r="E55" s="30"/>
      <c r="F55" s="14"/>
      <c r="G55" s="52"/>
    </row>
    <row r="56" spans="1:7" s="8" customFormat="1" ht="15" thickBot="1" x14ac:dyDescent="0.35">
      <c r="A56" s="17" t="s">
        <v>51</v>
      </c>
      <c r="B56" s="18"/>
      <c r="C56" s="28"/>
      <c r="D56" s="28"/>
      <c r="E56" s="28"/>
      <c r="F56" s="19">
        <f>F45-G48-G49-G50-G51</f>
        <v>78.772240579710143</v>
      </c>
      <c r="G56" s="9"/>
    </row>
    <row r="57" spans="1:7" s="8" customFormat="1" ht="14.4" x14ac:dyDescent="0.3">
      <c r="B57" s="5"/>
      <c r="C57" s="9"/>
      <c r="D57" s="9"/>
      <c r="E57" s="9"/>
      <c r="F57" s="61"/>
      <c r="G57" s="9"/>
    </row>
    <row r="58" spans="1:7" s="8" customFormat="1" ht="14.4" x14ac:dyDescent="0.3">
      <c r="B58" s="5"/>
      <c r="C58" s="9"/>
      <c r="D58" s="9"/>
      <c r="E58" s="9"/>
      <c r="F58" s="61"/>
      <c r="G58" s="9"/>
    </row>
    <row r="59" spans="1:7" s="5" customFormat="1" x14ac:dyDescent="0.3">
      <c r="A59" s="89" t="s">
        <v>76</v>
      </c>
      <c r="B59" s="99"/>
      <c r="C59" s="89" t="s">
        <v>41</v>
      </c>
      <c r="D59" s="89" t="s">
        <v>45</v>
      </c>
      <c r="E59" s="4"/>
      <c r="F59" s="4"/>
      <c r="G59" s="4"/>
    </row>
    <row r="60" spans="1:7" x14ac:dyDescent="0.3">
      <c r="A60" s="8" t="str">
        <f>A18</f>
        <v>Inköp djur</v>
      </c>
      <c r="C60" s="102">
        <f>F18</f>
        <v>4000</v>
      </c>
      <c r="D60" s="106">
        <f>G18</f>
        <v>13.913043478260869</v>
      </c>
      <c r="E60" s="4"/>
      <c r="F60" s="4"/>
      <c r="G60" s="4"/>
    </row>
    <row r="61" spans="1:7" x14ac:dyDescent="0.3">
      <c r="A61" s="44" t="str">
        <f>A19</f>
        <v>Foder</v>
      </c>
      <c r="C61" s="102">
        <f>SUM(F19:F24)</f>
        <v>6492.1</v>
      </c>
      <c r="D61" s="107">
        <f>G19+G20+G21+G22+G23+G24</f>
        <v>22.581217391304349</v>
      </c>
      <c r="E61" s="4"/>
      <c r="F61" s="4"/>
      <c r="G61" s="4"/>
    </row>
    <row r="62" spans="1:7" x14ac:dyDescent="0.3">
      <c r="A62" s="44" t="str">
        <f>A25</f>
        <v>Foderberedning</v>
      </c>
      <c r="C62" s="102">
        <f>F25</f>
        <v>1638</v>
      </c>
      <c r="D62" s="101">
        <f>G25</f>
        <v>5.6973913043478257</v>
      </c>
      <c r="E62" s="4"/>
      <c r="F62" s="4"/>
      <c r="G62" s="4"/>
    </row>
    <row r="63" spans="1:7" x14ac:dyDescent="0.3">
      <c r="A63" s="44" t="str">
        <f>A26</f>
        <v>Strö</v>
      </c>
      <c r="C63" s="102">
        <f>F26</f>
        <v>2670</v>
      </c>
      <c r="D63" s="107">
        <f>G26</f>
        <v>9.2869565217391301</v>
      </c>
      <c r="E63" s="4"/>
      <c r="F63" s="4"/>
      <c r="G63" s="4"/>
    </row>
    <row r="64" spans="1:7" x14ac:dyDescent="0.3">
      <c r="A64" s="8" t="str">
        <f>A27</f>
        <v>Diverse</v>
      </c>
      <c r="C64" s="102">
        <f>SUM(F27:F28)</f>
        <v>710</v>
      </c>
      <c r="D64" s="107">
        <f>G27+G28</f>
        <v>2.4695652173913043</v>
      </c>
      <c r="E64" s="4"/>
      <c r="F64" s="4"/>
      <c r="G64" s="4"/>
    </row>
    <row r="65" spans="1:7" x14ac:dyDescent="0.3">
      <c r="A65" s="8" t="str">
        <f>A29</f>
        <v>Arbete</v>
      </c>
      <c r="C65" s="102">
        <f>F29</f>
        <v>3600</v>
      </c>
      <c r="D65" s="107">
        <f>G29</f>
        <v>12.521739130434783</v>
      </c>
      <c r="E65" s="4"/>
      <c r="F65" s="4"/>
      <c r="G65" s="4"/>
    </row>
    <row r="66" spans="1:7" x14ac:dyDescent="0.3">
      <c r="A66" s="8" t="str">
        <f>A36</f>
        <v>Byggnader</v>
      </c>
      <c r="C66" s="102">
        <f>SUM(F36:F37)</f>
        <v>1666.6666666666667</v>
      </c>
      <c r="D66" s="106">
        <f>G36+G38+G37</f>
        <v>7.7101449275362324</v>
      </c>
      <c r="E66" s="4"/>
      <c r="F66" s="4"/>
      <c r="G66" s="4"/>
    </row>
    <row r="67" spans="1:7" x14ac:dyDescent="0.3">
      <c r="A67" s="89" t="str">
        <f>A38</f>
        <v>Ränta</v>
      </c>
      <c r="B67" s="99"/>
      <c r="C67" s="103">
        <f>SUM(F38:F40)</f>
        <v>1870.2525000000001</v>
      </c>
      <c r="D67" s="108">
        <f>G39+G40</f>
        <v>4.5921826086956523</v>
      </c>
      <c r="E67" s="4"/>
      <c r="F67" s="4"/>
      <c r="G67" s="4"/>
    </row>
    <row r="68" spans="1:7" x14ac:dyDescent="0.3">
      <c r="A68" s="8"/>
      <c r="B68" s="100" t="s">
        <v>66</v>
      </c>
      <c r="C68" s="104">
        <f>SUM(C60:C67)</f>
        <v>22647.019166666665</v>
      </c>
      <c r="D68" s="105">
        <f>SUM(D60:D67)</f>
        <v>78.772240579710143</v>
      </c>
      <c r="E68" s="4"/>
      <c r="F68" s="4"/>
      <c r="G68" s="4"/>
    </row>
    <row r="69" spans="1:7" x14ac:dyDescent="0.3">
      <c r="A69" s="8"/>
      <c r="B69" s="5"/>
      <c r="C69" s="9"/>
      <c r="D69" s="26"/>
      <c r="E69" s="9"/>
      <c r="F69" s="11"/>
      <c r="G69" s="36"/>
    </row>
    <row r="70" spans="1:7" x14ac:dyDescent="0.3">
      <c r="A70" s="8"/>
      <c r="B70" s="5"/>
      <c r="C70" s="9"/>
      <c r="D70" s="9"/>
      <c r="E70" s="9"/>
      <c r="F70" s="10"/>
      <c r="G70" s="9"/>
    </row>
  </sheetData>
  <mergeCells count="1">
    <mergeCell ref="A2:G2"/>
  </mergeCells>
  <dataValidations disablePrompts="1" count="1">
    <dataValidation type="list" allowBlank="1" showInputMessage="1" showErrorMessage="1" sqref="C5" xr:uid="{66350B0F-A669-4A88-A635-9E846CFD3B1C}">
      <formula1>stödområde</formula1>
    </dataValidation>
  </dataValidations>
  <pageMargins left="0.74803149606299213" right="0.74803149606299213" top="0.94488188976377963" bottom="0.62992125984251968" header="0.39370078740157483" footer="0.31496062992125984"/>
  <pageSetup paperSize="9" scale="94" orientation="portrait" horizontalDpi="4294967293" r:id="rId1"/>
  <headerFooter alignWithMargins="0">
    <oddHeader>&amp;L&amp;G&amp;R&amp;G</oddHeader>
    <oddFooter>&amp;C&amp;"Myriad Pro,Normal"Gård &amp; Djurhälsan – Växel: 0771-21 65 00 – www.gårdochdjurhälsan.se</oddFooter>
  </headerFooter>
  <rowBreaks count="1" manualBreakCount="1">
    <brk id="57" max="16383" man="1"/>
  </rowBreaks>
  <drawing r:id="rId2"/>
  <legacy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Blad2"/>
  <dimension ref="A1:E16"/>
  <sheetViews>
    <sheetView workbookViewId="0">
      <selection activeCell="D25" sqref="D25"/>
    </sheetView>
  </sheetViews>
  <sheetFormatPr defaultColWidth="9.109375" defaultRowHeight="12.6" x14ac:dyDescent="0.2"/>
  <cols>
    <col min="1" max="1" width="11.5546875" style="1" customWidth="1"/>
    <col min="2" max="2" width="26.33203125" style="1" bestFit="1" customWidth="1"/>
    <col min="3" max="3" width="34.5546875" style="1" bestFit="1" customWidth="1"/>
    <col min="4" max="4" width="34.6640625" style="1" bestFit="1" customWidth="1"/>
    <col min="5" max="5" width="20.109375" style="1" bestFit="1" customWidth="1"/>
    <col min="6" max="16384" width="9.109375" style="1"/>
  </cols>
  <sheetData>
    <row r="1" spans="1:5" x14ac:dyDescent="0.2">
      <c r="A1" s="1" t="s">
        <v>52</v>
      </c>
    </row>
    <row r="2" spans="1:5" ht="15" x14ac:dyDescent="0.25">
      <c r="A2" s="2"/>
      <c r="B2" s="3" t="s">
        <v>53</v>
      </c>
      <c r="C2" s="3" t="s">
        <v>39</v>
      </c>
      <c r="D2" s="3" t="s">
        <v>40</v>
      </c>
      <c r="E2" s="3"/>
    </row>
    <row r="3" spans="1:5" x14ac:dyDescent="0.2">
      <c r="A3" s="1">
        <v>0</v>
      </c>
      <c r="B3" s="1">
        <v>0</v>
      </c>
      <c r="C3" s="1">
        <v>1000</v>
      </c>
      <c r="D3" s="1">
        <v>2800</v>
      </c>
    </row>
    <row r="4" spans="1:5" x14ac:dyDescent="0.2">
      <c r="A4" s="1">
        <v>1</v>
      </c>
      <c r="B4" s="1">
        <v>2700</v>
      </c>
      <c r="C4" s="1">
        <v>1000</v>
      </c>
      <c r="D4" s="1">
        <v>2800</v>
      </c>
    </row>
    <row r="5" spans="1:5" x14ac:dyDescent="0.2">
      <c r="A5" s="1" t="s">
        <v>54</v>
      </c>
      <c r="B5" s="1">
        <v>2100</v>
      </c>
      <c r="C5" s="1">
        <v>1000</v>
      </c>
      <c r="D5" s="1">
        <v>2800</v>
      </c>
    </row>
    <row r="6" spans="1:5" x14ac:dyDescent="0.2">
      <c r="A6" s="1" t="s">
        <v>55</v>
      </c>
      <c r="B6" s="1">
        <v>2100</v>
      </c>
      <c r="C6" s="1">
        <v>1000</v>
      </c>
      <c r="D6" s="1">
        <v>2800</v>
      </c>
    </row>
    <row r="7" spans="1:5" x14ac:dyDescent="0.2">
      <c r="A7" s="1">
        <v>3</v>
      </c>
      <c r="B7" s="1">
        <v>2100</v>
      </c>
      <c r="C7" s="1">
        <v>1000</v>
      </c>
      <c r="D7" s="1">
        <v>2800</v>
      </c>
    </row>
    <row r="8" spans="1:5" x14ac:dyDescent="0.2">
      <c r="A8" s="1" t="s">
        <v>56</v>
      </c>
      <c r="B8" s="1">
        <v>2100</v>
      </c>
      <c r="C8" s="1">
        <v>1000</v>
      </c>
      <c r="D8" s="1">
        <v>2800</v>
      </c>
    </row>
    <row r="9" spans="1:5" x14ac:dyDescent="0.2">
      <c r="A9" s="1" t="s">
        <v>57</v>
      </c>
      <c r="B9" s="1">
        <v>2100</v>
      </c>
      <c r="C9" s="1">
        <v>1000</v>
      </c>
      <c r="D9" s="1">
        <v>2800</v>
      </c>
    </row>
    <row r="10" spans="1:5" x14ac:dyDescent="0.2">
      <c r="A10" s="1" t="s">
        <v>58</v>
      </c>
      <c r="B10" s="1">
        <v>1500</v>
      </c>
      <c r="C10" s="1">
        <v>1000</v>
      </c>
      <c r="D10" s="1">
        <v>2800</v>
      </c>
    </row>
    <row r="11" spans="1:5" x14ac:dyDescent="0.2">
      <c r="A11" s="1" t="s">
        <v>59</v>
      </c>
      <c r="B11" s="1">
        <v>900</v>
      </c>
      <c r="C11" s="1">
        <v>1000</v>
      </c>
      <c r="D11" s="1">
        <v>2800</v>
      </c>
    </row>
    <row r="12" spans="1:5" x14ac:dyDescent="0.2">
      <c r="A12" s="1" t="s">
        <v>60</v>
      </c>
      <c r="B12" s="1">
        <v>0</v>
      </c>
      <c r="C12" s="1">
        <v>1000</v>
      </c>
      <c r="D12" s="1">
        <v>2800</v>
      </c>
    </row>
    <row r="13" spans="1:5" x14ac:dyDescent="0.2">
      <c r="A13" s="1" t="s">
        <v>61</v>
      </c>
      <c r="B13" s="1">
        <v>0</v>
      </c>
      <c r="C13" s="1">
        <v>1000</v>
      </c>
      <c r="D13" s="1">
        <v>2800</v>
      </c>
    </row>
    <row r="14" spans="1:5" x14ac:dyDescent="0.2">
      <c r="A14" s="1">
        <v>9</v>
      </c>
      <c r="B14" s="1">
        <v>0</v>
      </c>
      <c r="C14" s="1">
        <v>1000</v>
      </c>
      <c r="D14" s="1">
        <v>2800</v>
      </c>
    </row>
    <row r="16" spans="1:5" ht="13.2" x14ac:dyDescent="0.25">
      <c r="A16"/>
    </row>
  </sheetData>
  <phoneticPr fontId="0" type="noConversion"/>
  <pageMargins left="0.75" right="0.75" top="1" bottom="1" header="0.5" footer="0.5"/>
  <pageSetup paperSize="9" orientation="portrait" horizontalDpi="1200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SQMHNX6NJ7S5-1457374313-16664</_dlc_DocId>
    <_dlc_DocIdUrl xmlns="dc9bf6b0-c037-4e8f-b370-165ec66c887d">
      <Url>https://svdhv.sharepoint.com/Intranet/arbetsrum/A15/_layouts/15/DocIdRedir.aspx?ID=SQMHNX6NJ7S5-1457374313-16664</Url>
      <Description>SQMHNX6NJ7S5-1457374313-16664</Description>
    </_dlc_DocIdUrl>
  </documentManagement>
</p:properties>
</file>

<file path=customXml/itemProps1.xml><?xml version="1.0" encoding="utf-8"?>
<ds:datastoreItem xmlns:ds="http://schemas.openxmlformats.org/officeDocument/2006/customXml" ds:itemID="{BF3431E3-B1CD-4460-9AE2-4AC19B90E88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90E9C4-0B39-47B2-A011-B31285B4BED6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0F0B3E4-2DB7-4906-ADFC-3B7CE460E9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F500F3-BC54-4A33-A9F0-33F194AAE6F3}">
  <ds:schemaRefs>
    <ds:schemaRef ds:uri="http://purl.org/dc/terms/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dc9bf6b0-c037-4e8f-b370-165ec66c887d"/>
    <ds:schemaRef ds:uri="http://purl.org/dc/elements/1.1/"/>
    <ds:schemaRef ds:uri="0136e8ea-c59c-4acf-8a1d-44c411ce7517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Diko vår</vt:lpstr>
      <vt:lpstr>Diko höst</vt:lpstr>
      <vt:lpstr>Blad1</vt:lpstr>
      <vt:lpstr>stödområde</vt:lpstr>
    </vt:vector>
  </TitlesOfParts>
  <Manager/>
  <Company>KoNet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Nina Lindström</dc:creator>
  <cp:keywords/>
  <dc:description/>
  <cp:lastModifiedBy>Sofie Johansson</cp:lastModifiedBy>
  <cp:revision/>
  <cp:lastPrinted>2024-08-16T12:55:25Z</cp:lastPrinted>
  <dcterms:created xsi:type="dcterms:W3CDTF">2006-06-20T05:39:28Z</dcterms:created>
  <dcterms:modified xsi:type="dcterms:W3CDTF">2024-08-16T12:55:35Z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1ae77bb5-2086-4adf-8e62-802a2d1c3ea6</vt:lpwstr>
  </property>
  <property fmtid="{D5CDD505-2E9C-101B-9397-08002B2CF9AE}" pid="4" name="MediaServiceImageTags">
    <vt:lpwstr/>
  </property>
</Properties>
</file>