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vdhv-my.sharepoint.com/personal/ingvar_eriksson_gardochdjurhalsan_se/Documents/Documents/GÅRD- OCH DJURHÄLSAN/Leader Gute/"/>
    </mc:Choice>
  </mc:AlternateContent>
  <xr:revisionPtr revIDLastSave="23" documentId="8_{9BADA162-24C9-4095-952A-6A36E8E442A1}" xr6:coauthVersionLast="47" xr6:coauthVersionMax="47" xr10:uidLastSave="{B63B7455-B4E4-4405-A060-264475EF7327}"/>
  <workbookProtection workbookAlgorithmName="SHA-512" workbookHashValue="aZa13OLc8mAsrnq0xT8jeFqaoa06f1gG5y+6d84UqfBt96bmYDBjn/oLeUllu1iecstc7q1IAv0PnKbHnQkbsA==" workbookSaltValue="TxW/2OjM6HiiTJ4AAnrxtQ==" workbookSpinCount="100000" lockStructure="1"/>
  <bookViews>
    <workbookView xWindow="-120" yWindow="-120" windowWidth="29040" windowHeight="15840" tabRatio="697" activeTab="3" xr2:uid="{00000000-000D-0000-FFFF-FFFF00000000}"/>
  </bookViews>
  <sheets>
    <sheet name="Introduktion" sheetId="11" r:id="rId1"/>
    <sheet name="Mina Produktionsnyckeltal" sheetId="3" r:id="rId2"/>
    <sheet name="Uträkning eget foder" sheetId="9" r:id="rId3"/>
    <sheet name="Mitt ekonomiska underlag" sheetId="4" r:id="rId4"/>
    <sheet name="Min kalkyl" sheetId="1" r:id="rId5"/>
  </sheets>
  <definedNames>
    <definedName name="_xlnm.Print_Area" localSheetId="0">Introduktion!$B$1:$L$21</definedName>
    <definedName name="_xlnm.Print_Area" localSheetId="4">'Min kalkyl'!$B$1:$I$58</definedName>
    <definedName name="_xlnm.Print_Area" localSheetId="1">'Mina Produktionsnyckeltal'!$B$3:$E$37,'Mina Produktionsnyckeltal'!$H$3:$K$40</definedName>
    <definedName name="_xlnm.Print_Area" localSheetId="3">'Mitt ekonomiska underlag'!$B$1:$I$58</definedName>
    <definedName name="_xlnm.Print_Area" localSheetId="2">'Uträkning eget foder'!$A$1:$X$25</definedName>
    <definedName name="_xlnm.Print_Titles" localSheetId="4">'Min kalkyl'!$1:$3</definedName>
    <definedName name="_xlnm.Print_Titles" localSheetId="1">'Mina Produktionsnyckeltal'!$1:$3</definedName>
    <definedName name="_xlnm.Print_Titles" localSheetId="3">'Mitt ekonomiska underlag'!$1:$3</definedName>
    <definedName name="_xlnm.Print_Titles" localSheetId="2">'Uträkning eget foder'!$1:$3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4" l="1"/>
  <c r="F50" i="4" s="1"/>
  <c r="G49" i="4"/>
  <c r="F49" i="4" s="1"/>
  <c r="G48" i="4"/>
  <c r="G51" i="4" s="1"/>
  <c r="E46" i="1" s="1"/>
  <c r="G56" i="4"/>
  <c r="G57" i="4"/>
  <c r="G55" i="4"/>
  <c r="F55" i="4" s="1"/>
  <c r="F48" i="4" l="1"/>
  <c r="F51" i="4"/>
  <c r="G33" i="1"/>
  <c r="G32" i="1"/>
  <c r="J43" i="1"/>
  <c r="G43" i="1" s="1"/>
  <c r="U22" i="9" l="1"/>
  <c r="U23" i="9"/>
  <c r="U24" i="9"/>
  <c r="P22" i="9"/>
  <c r="P23" i="9"/>
  <c r="P24" i="9"/>
  <c r="K22" i="9"/>
  <c r="K23" i="9"/>
  <c r="K24" i="9"/>
  <c r="H15" i="9"/>
  <c r="H16" i="9"/>
  <c r="H17" i="9"/>
  <c r="H18" i="9"/>
  <c r="F24" i="9"/>
  <c r="F23" i="9"/>
  <c r="F22" i="9"/>
  <c r="F21" i="9"/>
  <c r="F20" i="9"/>
  <c r="F19" i="9"/>
  <c r="F18" i="9"/>
  <c r="F17" i="9"/>
  <c r="F16" i="9"/>
  <c r="F15" i="9"/>
  <c r="L36" i="3"/>
  <c r="L32" i="3" s="1"/>
  <c r="L28" i="3"/>
  <c r="L24" i="3" s="1"/>
  <c r="L31" i="3" l="1"/>
  <c r="L23" i="3"/>
  <c r="U14" i="9" l="1"/>
  <c r="P14" i="9"/>
  <c r="K14" i="9"/>
  <c r="F14" i="9"/>
  <c r="J44" i="1"/>
  <c r="G44" i="1" s="1"/>
  <c r="I32" i="1" l="1"/>
  <c r="I33" i="1"/>
  <c r="I13" i="1"/>
  <c r="F43" i="4"/>
  <c r="G43" i="4" s="1"/>
  <c r="J35" i="3" l="1"/>
  <c r="F25" i="1" s="1"/>
  <c r="E25" i="1"/>
  <c r="E24" i="1"/>
  <c r="E23" i="1"/>
  <c r="E22" i="1"/>
  <c r="E18" i="1"/>
  <c r="E21" i="1"/>
  <c r="E20" i="1"/>
  <c r="E19" i="1"/>
  <c r="J37" i="3"/>
  <c r="F21" i="1" l="1"/>
  <c r="E30" i="1"/>
  <c r="G30" i="1" s="1"/>
  <c r="E26" i="1"/>
  <c r="V25" i="9"/>
  <c r="L25" i="9"/>
  <c r="Q25" i="9"/>
  <c r="G25" i="9"/>
  <c r="G24" i="4"/>
  <c r="G23" i="4"/>
  <c r="G22" i="4"/>
  <c r="G17" i="4"/>
  <c r="G18" i="4"/>
  <c r="G16" i="4"/>
  <c r="M24" i="9"/>
  <c r="N24" i="9" s="1"/>
  <c r="M23" i="9"/>
  <c r="N23" i="9" s="1"/>
  <c r="M22" i="9"/>
  <c r="N22" i="9" s="1"/>
  <c r="M21" i="9"/>
  <c r="N21" i="9" s="1"/>
  <c r="M20" i="9"/>
  <c r="N20" i="9" s="1"/>
  <c r="M19" i="9"/>
  <c r="N19" i="9" s="1"/>
  <c r="M18" i="9"/>
  <c r="N18" i="9" s="1"/>
  <c r="M17" i="9"/>
  <c r="N17" i="9" s="1"/>
  <c r="M16" i="9"/>
  <c r="N16" i="9" s="1"/>
  <c r="M15" i="9"/>
  <c r="N15" i="9" s="1"/>
  <c r="M14" i="9"/>
  <c r="N14" i="9" s="1"/>
  <c r="M13" i="9"/>
  <c r="N13" i="9" s="1"/>
  <c r="M12" i="9"/>
  <c r="N12" i="9" s="1"/>
  <c r="M11" i="9"/>
  <c r="K11" i="9"/>
  <c r="K12" i="9"/>
  <c r="K13" i="9"/>
  <c r="K15" i="9"/>
  <c r="K16" i="9"/>
  <c r="K17" i="9"/>
  <c r="K18" i="9"/>
  <c r="K19" i="9"/>
  <c r="K20" i="9"/>
  <c r="K21" i="9"/>
  <c r="R11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H12" i="9"/>
  <c r="H13" i="9"/>
  <c r="H14" i="9"/>
  <c r="H19" i="9"/>
  <c r="H20" i="9"/>
  <c r="H21" i="9"/>
  <c r="H22" i="9"/>
  <c r="H23" i="9"/>
  <c r="H24" i="9"/>
  <c r="H11" i="9"/>
  <c r="J20" i="3"/>
  <c r="J11" i="3"/>
  <c r="J27" i="3"/>
  <c r="J19" i="3"/>
  <c r="J18" i="3"/>
  <c r="J10" i="3"/>
  <c r="D35" i="3"/>
  <c r="D37" i="3"/>
  <c r="D36" i="3"/>
  <c r="D31" i="3"/>
  <c r="D24" i="3"/>
  <c r="D25" i="3"/>
  <c r="D18" i="3"/>
  <c r="D13" i="3"/>
  <c r="D12" i="3"/>
  <c r="D11" i="3"/>
  <c r="L15" i="3" l="1"/>
  <c r="L14" i="3"/>
  <c r="J36" i="3"/>
  <c r="J28" i="3"/>
  <c r="I30" i="1"/>
  <c r="F22" i="1"/>
  <c r="F18" i="1"/>
  <c r="F24" i="1"/>
  <c r="F20" i="1"/>
  <c r="F23" i="1"/>
  <c r="F19" i="1"/>
  <c r="M25" i="9"/>
  <c r="R25" i="9"/>
  <c r="N11" i="9"/>
  <c r="N25" i="9" s="1"/>
  <c r="F46" i="1"/>
  <c r="F47" i="1"/>
  <c r="G12" i="1"/>
  <c r="F28" i="4"/>
  <c r="G28" i="4" s="1"/>
  <c r="F11" i="4"/>
  <c r="G11" i="4" s="1"/>
  <c r="G19" i="4"/>
  <c r="G28" i="1" s="1"/>
  <c r="F34" i="4"/>
  <c r="F36" i="4"/>
  <c r="G36" i="4" s="1"/>
  <c r="F42" i="4"/>
  <c r="G42" i="4" s="1"/>
  <c r="E11" i="1"/>
  <c r="G11" i="1" s="1"/>
  <c r="F35" i="4"/>
  <c r="G35" i="4" s="1"/>
  <c r="F37" i="4"/>
  <c r="G37" i="4" s="1"/>
  <c r="F40" i="4"/>
  <c r="G40" i="4" s="1"/>
  <c r="F8" i="4"/>
  <c r="G8" i="4" s="1"/>
  <c r="U21" i="9"/>
  <c r="U20" i="9"/>
  <c r="U19" i="9"/>
  <c r="U18" i="9"/>
  <c r="U17" i="9"/>
  <c r="U16" i="9"/>
  <c r="U15" i="9"/>
  <c r="U13" i="9"/>
  <c r="U12" i="9"/>
  <c r="P21" i="9"/>
  <c r="P20" i="9"/>
  <c r="P19" i="9"/>
  <c r="P18" i="9"/>
  <c r="P17" i="9"/>
  <c r="P16" i="9"/>
  <c r="P15" i="9"/>
  <c r="P13" i="9"/>
  <c r="P12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F13" i="9"/>
  <c r="F12" i="9"/>
  <c r="U11" i="9"/>
  <c r="H25" i="9"/>
  <c r="P11" i="9"/>
  <c r="F11" i="9"/>
  <c r="F38" i="4"/>
  <c r="G38" i="4" s="1"/>
  <c r="F39" i="4"/>
  <c r="G39" i="4" s="1"/>
  <c r="F41" i="4"/>
  <c r="G41" i="4" s="1"/>
  <c r="F29" i="4"/>
  <c r="G29" i="4" s="1"/>
  <c r="F30" i="4"/>
  <c r="G30" i="4" s="1"/>
  <c r="F9" i="4"/>
  <c r="G9" i="4" s="1"/>
  <c r="F10" i="4"/>
  <c r="G10" i="4" s="1"/>
  <c r="F12" i="4"/>
  <c r="G12" i="4" s="1"/>
  <c r="Q43" i="1"/>
  <c r="N8" i="9" l="1"/>
  <c r="N7" i="9" s="1"/>
  <c r="I43" i="1"/>
  <c r="I28" i="1"/>
  <c r="I11" i="1"/>
  <c r="I12" i="1"/>
  <c r="G31" i="4"/>
  <c r="G13" i="4"/>
  <c r="G27" i="1" s="1"/>
  <c r="F37" i="1"/>
  <c r="F31" i="4"/>
  <c r="F44" i="4"/>
  <c r="G34" i="4"/>
  <c r="G44" i="4" s="1"/>
  <c r="F25" i="4"/>
  <c r="F13" i="4"/>
  <c r="I11" i="9"/>
  <c r="I25" i="9" s="1"/>
  <c r="I8" i="9" s="1"/>
  <c r="I7" i="9" s="1"/>
  <c r="G19" i="1"/>
  <c r="G22" i="1"/>
  <c r="S23" i="9"/>
  <c r="S17" i="9"/>
  <c r="S21" i="9"/>
  <c r="S16" i="9"/>
  <c r="S12" i="9"/>
  <c r="E9" i="1"/>
  <c r="H28" i="1" s="1"/>
  <c r="G25" i="1"/>
  <c r="G20" i="1"/>
  <c r="S20" i="9"/>
  <c r="G23" i="1"/>
  <c r="S24" i="9"/>
  <c r="G24" i="1"/>
  <c r="E10" i="1"/>
  <c r="G10" i="1" s="1"/>
  <c r="S13" i="9"/>
  <c r="G25" i="4"/>
  <c r="G29" i="1" s="1"/>
  <c r="S15" i="9"/>
  <c r="S18" i="9"/>
  <c r="S19" i="9"/>
  <c r="S22" i="9"/>
  <c r="E17" i="1"/>
  <c r="G17" i="1" s="1"/>
  <c r="G18" i="1"/>
  <c r="S11" i="9"/>
  <c r="G21" i="1"/>
  <c r="S14" i="9"/>
  <c r="J25" i="1" l="1"/>
  <c r="J21" i="1"/>
  <c r="H43" i="1"/>
  <c r="I44" i="1"/>
  <c r="H44" i="1"/>
  <c r="H11" i="1"/>
  <c r="I10" i="1"/>
  <c r="H10" i="1"/>
  <c r="H12" i="1"/>
  <c r="I27" i="1"/>
  <c r="H27" i="1"/>
  <c r="I29" i="1"/>
  <c r="H29" i="1"/>
  <c r="G9" i="1"/>
  <c r="H32" i="1"/>
  <c r="H13" i="1"/>
  <c r="H33" i="1"/>
  <c r="H30" i="1"/>
  <c r="I25" i="1"/>
  <c r="H25" i="1"/>
  <c r="I21" i="1"/>
  <c r="H21" i="1"/>
  <c r="I24" i="1"/>
  <c r="H24" i="1"/>
  <c r="I20" i="1"/>
  <c r="H20" i="1"/>
  <c r="H23" i="1"/>
  <c r="I23" i="1"/>
  <c r="I19" i="1"/>
  <c r="H19" i="1"/>
  <c r="I22" i="1"/>
  <c r="H22" i="1"/>
  <c r="I18" i="1"/>
  <c r="H18" i="1"/>
  <c r="F38" i="1"/>
  <c r="G38" i="1" s="1"/>
  <c r="I17" i="1"/>
  <c r="H17" i="1"/>
  <c r="G31" i="1"/>
  <c r="G46" i="1"/>
  <c r="F26" i="1"/>
  <c r="G26" i="1" s="1"/>
  <c r="S25" i="9"/>
  <c r="G37" i="1"/>
  <c r="I37" i="1" s="1"/>
  <c r="S8" i="9" l="1"/>
  <c r="S7" i="9" s="1"/>
  <c r="H38" i="1"/>
  <c r="I38" i="1"/>
  <c r="H9" i="1"/>
  <c r="H14" i="1" s="1"/>
  <c r="I9" i="1"/>
  <c r="I14" i="1" s="1"/>
  <c r="I26" i="1"/>
  <c r="H26" i="1"/>
  <c r="I46" i="1"/>
  <c r="H46" i="1"/>
  <c r="H37" i="1"/>
  <c r="G14" i="1"/>
  <c r="I31" i="1"/>
  <c r="H31" i="1"/>
  <c r="G34" i="1"/>
  <c r="I34" i="1" l="1"/>
  <c r="G55" i="1"/>
  <c r="I55" i="1" s="1"/>
  <c r="H34" i="1"/>
  <c r="H55" i="1" l="1"/>
  <c r="W15" i="9" l="1"/>
  <c r="X15" i="9" s="1"/>
  <c r="W20" i="9"/>
  <c r="X20" i="9" s="1"/>
  <c r="W17" i="9"/>
  <c r="X17" i="9" s="1"/>
  <c r="W23" i="9"/>
  <c r="X23" i="9" s="1"/>
  <c r="W11" i="9"/>
  <c r="W13" i="9"/>
  <c r="X13" i="9" s="1"/>
  <c r="W16" i="9"/>
  <c r="X16" i="9" s="1"/>
  <c r="W21" i="9"/>
  <c r="X21" i="9" s="1"/>
  <c r="W18" i="9"/>
  <c r="X18" i="9" s="1"/>
  <c r="W19" i="9"/>
  <c r="X19" i="9" s="1"/>
  <c r="W12" i="9"/>
  <c r="X12" i="9" s="1"/>
  <c r="W14" i="9"/>
  <c r="X14" i="9" s="1"/>
  <c r="W24" i="9"/>
  <c r="X24" i="9" s="1"/>
  <c r="W22" i="9"/>
  <c r="X22" i="9" s="1"/>
  <c r="W25" i="9" l="1"/>
  <c r="X11" i="9"/>
  <c r="X25" i="9" s="1"/>
  <c r="X8" i="9" l="1"/>
  <c r="X7" i="9" s="1"/>
  <c r="F57" i="4" l="1"/>
  <c r="F56" i="4"/>
  <c r="G58" i="4"/>
  <c r="E47" i="1" s="1"/>
  <c r="G47" i="1" s="1"/>
  <c r="F58" i="4" l="1"/>
  <c r="F39" i="1"/>
  <c r="G39" i="1" s="1"/>
  <c r="G48" i="1"/>
  <c r="H47" i="1"/>
  <c r="H48" i="1" s="1"/>
  <c r="I47" i="1"/>
  <c r="I48" i="1" s="1"/>
  <c r="G40" i="1" l="1"/>
  <c r="G56" i="1" s="1"/>
  <c r="H39" i="1"/>
  <c r="H40" i="1" s="1"/>
  <c r="I39" i="1"/>
  <c r="I40" i="1" s="1"/>
  <c r="I56" i="1" l="1"/>
  <c r="G57" i="1"/>
  <c r="H56" i="1"/>
  <c r="F51" i="1"/>
  <c r="G51" i="1" s="1"/>
  <c r="I51" i="1" l="1"/>
  <c r="I52" i="1" s="1"/>
  <c r="G52" i="1"/>
  <c r="G58" i="1" s="1"/>
  <c r="H51" i="1"/>
  <c r="H52" i="1" s="1"/>
  <c r="H57" i="1"/>
  <c r="I57" i="1"/>
  <c r="I58" i="1" l="1"/>
  <c r="H58" i="1"/>
</calcChain>
</file>

<file path=xl/sharedStrings.xml><?xml version="1.0" encoding="utf-8"?>
<sst xmlns="http://schemas.openxmlformats.org/spreadsheetml/2006/main" count="431" uniqueCount="247">
  <si>
    <t>Intäkter</t>
  </si>
  <si>
    <t>Smågrisar</t>
  </si>
  <si>
    <t>Kr</t>
  </si>
  <si>
    <t>Strömedel</t>
  </si>
  <si>
    <t>Kg</t>
  </si>
  <si>
    <t>Ränta djurkapital</t>
  </si>
  <si>
    <t>Ränta rörelsekapital</t>
  </si>
  <si>
    <t>Arbete</t>
  </si>
  <si>
    <t>tim</t>
  </si>
  <si>
    <t>Summa särkostnader 3</t>
  </si>
  <si>
    <t>Ålder vid 30 kg</t>
  </si>
  <si>
    <t>Enhet</t>
  </si>
  <si>
    <t>Dagar</t>
  </si>
  <si>
    <t>Antal</t>
  </si>
  <si>
    <t>Omlöpningsprocent</t>
  </si>
  <si>
    <t>Procent</t>
  </si>
  <si>
    <t>Kött, utslagssugga</t>
  </si>
  <si>
    <t>Kvantitet</t>
  </si>
  <si>
    <t>Pris</t>
  </si>
  <si>
    <t>Försäkring</t>
  </si>
  <si>
    <t>Kadaverhämtning</t>
  </si>
  <si>
    <t>st/år</t>
  </si>
  <si>
    <t>Förbrukningsmaterial</t>
  </si>
  <si>
    <t>Telefon/ Larm</t>
  </si>
  <si>
    <t>Utbildning</t>
  </si>
  <si>
    <t>Summa</t>
  </si>
  <si>
    <t>SEK/Årssugga</t>
  </si>
  <si>
    <t>Kostnad</t>
  </si>
  <si>
    <t>Summa intäkter</t>
  </si>
  <si>
    <t>Fyll i dina egna siffror</t>
  </si>
  <si>
    <t>Ålder vid försäljning, dagar</t>
  </si>
  <si>
    <t>Certifiering</t>
  </si>
  <si>
    <t>Gödsel</t>
  </si>
  <si>
    <t>Andel nyrekrytering</t>
  </si>
  <si>
    <t>Andel djur till slakt</t>
  </si>
  <si>
    <t>Dräktighetsfoder</t>
  </si>
  <si>
    <t>Totalt antal betäckningar per år</t>
  </si>
  <si>
    <t>Varav antal ombetäckningar per år</t>
  </si>
  <si>
    <t>Rekrytering och utslagning</t>
  </si>
  <si>
    <t>Produktion</t>
  </si>
  <si>
    <t>Smågrisdödlighet</t>
  </si>
  <si>
    <t>Vikt per producerad gris vid leverans</t>
  </si>
  <si>
    <r>
      <t xml:space="preserve">Antal utslagna hondjur per år </t>
    </r>
    <r>
      <rPr>
        <sz val="8"/>
        <color indexed="8"/>
        <rFont val="Calibri"/>
        <family val="2"/>
      </rPr>
      <t>(till slakt)</t>
    </r>
  </si>
  <si>
    <t>kr/kg</t>
  </si>
  <si>
    <t>Vete</t>
  </si>
  <si>
    <t>Korn</t>
  </si>
  <si>
    <t>Havre</t>
  </si>
  <si>
    <t>Koncentrat Dräktighet</t>
  </si>
  <si>
    <t>Koncentrat Digivning</t>
  </si>
  <si>
    <t>Digivningsfoder</t>
  </si>
  <si>
    <t>Kr per kg foder</t>
  </si>
  <si>
    <t>Komponenter</t>
  </si>
  <si>
    <t>Summa Produktionsuppföljning</t>
  </si>
  <si>
    <t>Elektricitet</t>
  </si>
  <si>
    <t>kWh</t>
  </si>
  <si>
    <t>Uppvärmning (olja)</t>
  </si>
  <si>
    <t>liter</t>
  </si>
  <si>
    <t>Uppvärmning (panna)</t>
  </si>
  <si>
    <t>m^3</t>
  </si>
  <si>
    <t>Uppvärmning (el)</t>
  </si>
  <si>
    <t>Vatten</t>
  </si>
  <si>
    <t>Arbete, eget</t>
  </si>
  <si>
    <t>Arbete, anställd</t>
  </si>
  <si>
    <t>Dagliga rutiner</t>
  </si>
  <si>
    <t>Tvättning och desinficering</t>
  </si>
  <si>
    <t>Arbete,eget</t>
  </si>
  <si>
    <t>Summa Anställd arbetskraft</t>
  </si>
  <si>
    <t>Summa Eget arbete</t>
  </si>
  <si>
    <t>Halm</t>
  </si>
  <si>
    <t>Spån</t>
  </si>
  <si>
    <t>Övrigt</t>
  </si>
  <si>
    <t>Summa Strömedel</t>
  </si>
  <si>
    <t>Tid/årssugga</t>
  </si>
  <si>
    <t>Övriga Konsultarvode</t>
  </si>
  <si>
    <t>Koncentrat Smågris</t>
  </si>
  <si>
    <t>Antal prod/sålda per kull</t>
  </si>
  <si>
    <t>Diverse kostnader</t>
  </si>
  <si>
    <t xml:space="preserve">Energiförbrukning per årssugga: </t>
  </si>
  <si>
    <r>
      <t>Dagliga rutiner</t>
    </r>
    <r>
      <rPr>
        <sz val="8"/>
        <color indexed="8"/>
        <rFont val="Calibri"/>
        <family val="2"/>
      </rPr>
      <t xml:space="preserve"> (utfodr, utgödsl, tillsyn mm)</t>
    </r>
  </si>
  <si>
    <t xml:space="preserve"> 738 kWh per sugga och år, </t>
  </si>
  <si>
    <t>kr/år</t>
  </si>
  <si>
    <t>Dator</t>
  </si>
  <si>
    <t>Bokföring och revisionsarvode</t>
  </si>
  <si>
    <t>Antal avvanda per kull</t>
  </si>
  <si>
    <t>Årssuggor i besättningen</t>
  </si>
  <si>
    <r>
      <t>Veterinär och medicinkostnader</t>
    </r>
    <r>
      <rPr>
        <sz val="10"/>
        <rFont val="Calibri"/>
        <family val="2"/>
      </rPr>
      <t>/sugga</t>
    </r>
  </si>
  <si>
    <t>Foderkomponenter</t>
  </si>
  <si>
    <t>Foderförbr. per årssugga digivn, kg</t>
  </si>
  <si>
    <t>Kostnad per årssugga, kr</t>
  </si>
  <si>
    <t>Foderförbr. per prod. smågris, kg</t>
  </si>
  <si>
    <t>Foderförbr. per årssugga dräktig, kg</t>
  </si>
  <si>
    <t>Leveransavtal</t>
  </si>
  <si>
    <t>Kr/kg</t>
  </si>
  <si>
    <t>Övriga kostnader - fyll i själv</t>
  </si>
  <si>
    <t>Recept         Antal kg per 100 kg foder</t>
  </si>
  <si>
    <t xml:space="preserve">Smågrisfoder </t>
  </si>
  <si>
    <t xml:space="preserve">Tillväxtfoder </t>
  </si>
  <si>
    <t>Timkostnad anställd:</t>
  </si>
  <si>
    <t>Timkostnad eget arbete:</t>
  </si>
  <si>
    <t xml:space="preserve"> </t>
  </si>
  <si>
    <r>
      <t xml:space="preserve">Byggnadsinventarier, </t>
    </r>
    <r>
      <rPr>
        <sz val="10"/>
        <rFont val="Calibri"/>
        <family val="2"/>
      </rPr>
      <t xml:space="preserve">avskrivning + ränta </t>
    </r>
  </si>
  <si>
    <t>Antal år</t>
  </si>
  <si>
    <t>Ränta</t>
  </si>
  <si>
    <t>Vinst</t>
  </si>
  <si>
    <t>Summa särkostnader 4</t>
  </si>
  <si>
    <t>Järntillskott</t>
  </si>
  <si>
    <t xml:space="preserve">Beräkning av halm per årssugga (källa SJV): </t>
  </si>
  <si>
    <t>El,värme, vatten</t>
  </si>
  <si>
    <t>Antal levande födda per kull</t>
  </si>
  <si>
    <t>El, värme, vatten</t>
  </si>
  <si>
    <t>Summa El, värme, vatten</t>
  </si>
  <si>
    <t>Övriga försäkringar, byggnader mm</t>
  </si>
  <si>
    <t>Grishälsokontroll, veterinär, järn</t>
  </si>
  <si>
    <t>Brunst, bet., seminering, sortering, lev.</t>
  </si>
  <si>
    <t>Grishälsovård, veterinär, järn</t>
  </si>
  <si>
    <t>Summa Diverse kostnader</t>
  </si>
  <si>
    <t>Produktionsrådgivning</t>
  </si>
  <si>
    <t>Summa Grishälsovård, veterinär, järn</t>
  </si>
  <si>
    <t>Nationellt stöd/suggpeng</t>
  </si>
  <si>
    <t>MJ NE</t>
  </si>
  <si>
    <t>MJ NE/kg</t>
  </si>
  <si>
    <t>Öre/MJ NE</t>
  </si>
  <si>
    <t>Kostnad per MJ NE</t>
  </si>
  <si>
    <t>Totalt antal MJ NE per smågris</t>
  </si>
  <si>
    <t>Öre per MJ NE</t>
  </si>
  <si>
    <t>MJ NE per kg foder</t>
  </si>
  <si>
    <r>
      <t>MJ NE per sugga,</t>
    </r>
    <r>
      <rPr>
        <sz val="8"/>
        <color indexed="8"/>
        <rFont val="Calibri"/>
        <family val="2"/>
      </rPr>
      <t>dräktighet</t>
    </r>
  </si>
  <si>
    <t>MJ NE per smågris</t>
  </si>
  <si>
    <r>
      <t>MJ NE per sugga,</t>
    </r>
    <r>
      <rPr>
        <sz val="8"/>
        <color indexed="8"/>
        <rFont val="Calibri"/>
        <family val="2"/>
      </rPr>
      <t>digivning</t>
    </r>
  </si>
  <si>
    <t>Produktionsuppföljning, WinPig Sugg</t>
  </si>
  <si>
    <t>Totalt antal prod/sålda grisar per år</t>
  </si>
  <si>
    <t>Produktionsuppföljning, WinPig etc</t>
  </si>
  <si>
    <t>Produktionsuppföljning, WinPig etc.</t>
  </si>
  <si>
    <r>
      <t>Rekrytering</t>
    </r>
    <r>
      <rPr>
        <b/>
        <sz val="14"/>
        <color indexed="8"/>
        <rFont val="Calibri"/>
        <family val="2"/>
      </rPr>
      <t xml:space="preserve"> </t>
    </r>
  </si>
  <si>
    <t>Grishälsovård och Smittsäkrad besättn.</t>
  </si>
  <si>
    <t>Årlig systemavgift till Sigill: &lt; 150 suggor= 1300 kr; 150-300 suggor=1900 kr</t>
  </si>
  <si>
    <t>Produktionsnyckeltal till smågriskalkyl</t>
  </si>
  <si>
    <t>Dina värden
(fyll i)</t>
  </si>
  <si>
    <r>
      <t>Betäckning</t>
    </r>
    <r>
      <rPr>
        <sz val="16"/>
        <color indexed="8"/>
        <rFont val="Calibri"/>
        <family val="2"/>
      </rPr>
      <t xml:space="preserve"> </t>
    </r>
  </si>
  <si>
    <t xml:space="preserve">Dräktighetsfoder </t>
  </si>
  <si>
    <t>Smågrisfoder</t>
  </si>
  <si>
    <t>Tillväxtfoder</t>
  </si>
  <si>
    <t>Foderkostnad</t>
  </si>
  <si>
    <t>Priser Foderkomponenter</t>
  </si>
  <si>
    <t>UTRÄKNING PRISER FÖR EGET FODER</t>
  </si>
  <si>
    <t>INFO</t>
  </si>
  <si>
    <t>kr</t>
  </si>
  <si>
    <t>Summa Särkostnader 1</t>
  </si>
  <si>
    <t xml:space="preserve">Prod. grisar per årssugga </t>
  </si>
  <si>
    <t xml:space="preserve">Kullar per årssugga </t>
  </si>
  <si>
    <t>Dödlighet från avvänjning till leverans</t>
  </si>
  <si>
    <r>
      <t>Smågrisarna</t>
    </r>
    <r>
      <rPr>
        <b/>
        <sz val="16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- </t>
    </r>
    <r>
      <rPr>
        <sz val="12"/>
        <color rgb="FF000000"/>
        <rFont val="Calibri"/>
        <family val="2"/>
      </rPr>
      <t>obs! har ingen inverkan på kalkylen  (frivilliga fält)</t>
    </r>
  </si>
  <si>
    <r>
      <t>Hjälpmedel</t>
    </r>
    <r>
      <rPr>
        <sz val="11"/>
        <color theme="1"/>
        <rFont val="Calibri"/>
        <family val="2"/>
        <scheme val="minor"/>
      </rPr>
      <t xml:space="preserve"> för att räkna ut foderkostnad för egen-producerat foder finns under fliken</t>
    </r>
    <r>
      <rPr>
        <sz val="11"/>
        <color indexed="61"/>
        <rFont val="Calibri"/>
        <family val="2"/>
      </rPr>
      <t xml:space="preserve"> </t>
    </r>
    <r>
      <rPr>
        <b/>
        <sz val="11"/>
        <color indexed="20"/>
        <rFont val="Calibri"/>
        <family val="2"/>
      </rPr>
      <t>"Uträkning eget foder"</t>
    </r>
    <r>
      <rPr>
        <sz val="11"/>
        <color theme="1"/>
        <rFont val="Calibri"/>
        <family val="2"/>
        <scheme val="minor"/>
      </rPr>
      <t>.</t>
    </r>
  </si>
  <si>
    <r>
      <t xml:space="preserve">I studien som låg till grund för Gård&amp;Djurhälsans Pigrapport nr 31, "Arbetstidsåtgång i svensk grisproduktion", var arbetstidsåtgången i smågrisproduktion i genomsnitt </t>
    </r>
    <r>
      <rPr>
        <u/>
        <sz val="11"/>
        <color indexed="8"/>
        <rFont val="Calibri"/>
        <family val="2"/>
      </rPr>
      <t>15 timmar per årssugga</t>
    </r>
    <r>
      <rPr>
        <sz val="11"/>
        <color theme="1"/>
        <rFont val="Calibri"/>
        <family val="2"/>
        <scheme val="minor"/>
      </rPr>
      <t xml:space="preserve"> eller </t>
    </r>
    <r>
      <rPr>
        <u/>
        <sz val="11"/>
        <color indexed="8"/>
        <rFont val="Calibri"/>
        <family val="2"/>
      </rPr>
      <t>41 minuter per producerad smågris</t>
    </r>
    <r>
      <rPr>
        <sz val="11"/>
        <color theme="1"/>
        <rFont val="Calibri"/>
        <family val="2"/>
        <scheme val="minor"/>
      </rPr>
      <t>.                                                                                                                                                         I moderna och arbetsrationella stallar torde arbetsförbrukningen idag ligga på 12-13 timmar per årssugga.</t>
    </r>
  </si>
  <si>
    <r>
      <t>Kadaver:</t>
    </r>
    <r>
      <rPr>
        <sz val="11"/>
        <color theme="1"/>
        <rFont val="Calibri"/>
        <family val="2"/>
        <scheme val="minor"/>
      </rPr>
      <t xml:space="preserve"> Gris, max 100 kg: 524 kr. Därutöver per påbörjat 100 kg: 328 kr</t>
    </r>
  </si>
  <si>
    <r>
      <t xml:space="preserve"> Källa: </t>
    </r>
    <r>
      <rPr>
        <i/>
        <sz val="10"/>
        <color indexed="8"/>
        <rFont val="Calibri"/>
        <family val="2"/>
      </rPr>
      <t>JTI-rapport 342, Jordbrukets energianvändning</t>
    </r>
  </si>
  <si>
    <t>Kr/år</t>
  </si>
  <si>
    <t>Kostnad uppföljningsprogram</t>
  </si>
  <si>
    <t>Enhets-, grisnings-, digivningsbox med golvvärme och dränerat golv: 1 kg per dag</t>
  </si>
  <si>
    <t>Andel avlivade och självdöda</t>
  </si>
  <si>
    <t>Dödlighet från födsel till leverans (TOTALT)</t>
  </si>
  <si>
    <t>Dödlighet från födsel till avvänjning</t>
  </si>
  <si>
    <t>Vatten:</t>
  </si>
  <si>
    <r>
      <t>Smittsäkrad besättning:</t>
    </r>
    <r>
      <rPr>
        <sz val="11"/>
        <color indexed="8"/>
        <rFont val="Calibri"/>
        <family val="2"/>
      </rPr>
      <t xml:space="preserve"> Anslutn.avg. 3750 kr, adm.avgift 1500 kr. Suggavgift: &lt;50 suggor, 630 kr; 50-100 suggor, 1160 kr; &gt;100 suggor, 1690 kr</t>
    </r>
  </si>
  <si>
    <t>Antal årssuggor          Årsavgift,kr                                  Antal årssuggor          Årsavgift,kr                                 Antal årssuggor          Årsavgift,kr</t>
  </si>
  <si>
    <t>101-200                       4850                                              401-500                        6900                                            701 och uppåt              9800</t>
  </si>
  <si>
    <t>201-300                       5200                                              501-600                        8250</t>
  </si>
  <si>
    <t>301-600 suggor= 2400 kr; &gt; 600 suggor= 3100 kr</t>
  </si>
  <si>
    <r>
      <t>Dräktighetsfoder,</t>
    </r>
    <r>
      <rPr>
        <sz val="10"/>
        <color indexed="8"/>
        <rFont val="Calibri"/>
        <family val="2"/>
      </rPr>
      <t xml:space="preserve"> inköpt foder</t>
    </r>
  </si>
  <si>
    <r>
      <t>Digivningsfoder,</t>
    </r>
    <r>
      <rPr>
        <sz val="9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inköpt foder</t>
    </r>
  </si>
  <si>
    <r>
      <t>Smågrisfoder,</t>
    </r>
    <r>
      <rPr>
        <sz val="9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inköpt foder</t>
    </r>
  </si>
  <si>
    <r>
      <t>Tillväxtfoder,</t>
    </r>
    <r>
      <rPr>
        <sz val="9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inköpt foder</t>
    </r>
  </si>
  <si>
    <r>
      <t>Dräktighetsfoder,</t>
    </r>
    <r>
      <rPr>
        <sz val="10"/>
        <color indexed="8"/>
        <rFont val="Calibri"/>
        <family val="2"/>
      </rPr>
      <t xml:space="preserve"> egenprod. foder</t>
    </r>
  </si>
  <si>
    <r>
      <t>Digivningsfoder,</t>
    </r>
    <r>
      <rPr>
        <sz val="10"/>
        <color indexed="8"/>
        <rFont val="Calibri"/>
        <family val="2"/>
      </rPr>
      <t xml:space="preserve"> egenprod. foder</t>
    </r>
  </si>
  <si>
    <r>
      <t xml:space="preserve">Smågrisfoder, </t>
    </r>
    <r>
      <rPr>
        <sz val="10"/>
        <color indexed="8"/>
        <rFont val="Calibri"/>
        <family val="2"/>
      </rPr>
      <t>egenprod. foder</t>
    </r>
  </si>
  <si>
    <r>
      <t xml:space="preserve">Tillväxtfoder, </t>
    </r>
    <r>
      <rPr>
        <sz val="10"/>
        <color indexed="8"/>
        <rFont val="Calibri"/>
        <family val="2"/>
      </rPr>
      <t>egenprod. foder</t>
    </r>
  </si>
  <si>
    <t>Tid per vecka</t>
  </si>
  <si>
    <r>
      <t>Gris Bas,</t>
    </r>
    <r>
      <rPr>
        <sz val="11"/>
        <color indexed="8"/>
        <rFont val="Calibri"/>
        <family val="2"/>
      </rPr>
      <t xml:space="preserve"> Besättn.avg spec. smågrisprod: 50-100 suggor: 2200 kr; &gt;100 suggor: 3500 kr</t>
    </r>
  </si>
  <si>
    <t>&lt;100                             3800                                              301-400                        5800                                            601-700                         9000</t>
  </si>
  <si>
    <t>Kostnad galt/semin</t>
  </si>
  <si>
    <t>Byggnader, underhåll</t>
  </si>
  <si>
    <t>INSTRUKTIONER</t>
  </si>
  <si>
    <t>Genomsnitt från WinPig</t>
  </si>
  <si>
    <t>KALKYLENS SYFTE</t>
  </si>
  <si>
    <t>KONTAKTUPPGIFTER</t>
  </si>
  <si>
    <t>Vid frågor om mallen kontakta:
Gård &amp; Djurhälsan | 0771-216500 | info@gardochdjurhalsan.se</t>
  </si>
  <si>
    <t>BIDRAGSKALKYL OCH NYCKELTALSBERÄKNING FÖR SMÅGRISPRODUKTION</t>
  </si>
  <si>
    <t xml:space="preserve">Denna kalkyl ger möjligheter för både den som vill göra beräkningar för befintlig produktion men också för den som vill se om en nyinvestering kan löna sig.                                                                                                                                              </t>
  </si>
  <si>
    <r>
      <t>Denna kalkyl består av flera olika flikar.  För att kalkylen ska bli så komplett som möjligt krävs att de</t>
    </r>
    <r>
      <rPr>
        <sz val="11"/>
        <color indexed="17"/>
        <rFont val="Calibri"/>
        <family val="2"/>
        <scheme val="minor"/>
      </rPr>
      <t xml:space="preserve"> </t>
    </r>
    <r>
      <rPr>
        <b/>
        <sz val="11"/>
        <color indexed="57"/>
        <rFont val="Calibri"/>
        <family val="2"/>
        <scheme val="minor"/>
      </rPr>
      <t>grönmarkerade</t>
    </r>
    <r>
      <rPr>
        <sz val="11"/>
        <rFont val="Calibri"/>
        <family val="2"/>
        <scheme val="minor"/>
      </rPr>
      <t xml:space="preserve"> flikarna fylls i fullt ut.  Fliken </t>
    </r>
    <r>
      <rPr>
        <b/>
        <sz val="11"/>
        <color rgb="FF7030A0"/>
        <rFont val="Calibri"/>
        <family val="2"/>
        <scheme val="minor"/>
      </rPr>
      <t>Uträkning eget foder</t>
    </r>
    <r>
      <rPr>
        <sz val="11"/>
        <rFont val="Calibri"/>
        <family val="2"/>
        <scheme val="minor"/>
      </rPr>
      <t xml:space="preserve"> är </t>
    </r>
    <r>
      <rPr>
        <u/>
        <sz val="11"/>
        <rFont val="Calibri"/>
        <family val="2"/>
        <scheme val="minor"/>
      </rPr>
      <t xml:space="preserve">endast ett hjälpmedel </t>
    </r>
    <r>
      <rPr>
        <sz val="11"/>
        <rFont val="Calibri"/>
        <family val="2"/>
        <scheme val="minor"/>
      </rPr>
      <t>för att räkna ut foderkostnaden för den som tillverkar eget foder.</t>
    </r>
  </si>
  <si>
    <r>
      <rPr>
        <b/>
        <sz val="10"/>
        <color indexed="8"/>
        <rFont val="Calibri"/>
        <family val="2"/>
      </rPr>
      <t>Medelvärden
per producerad
gris</t>
    </r>
    <r>
      <rPr>
        <b/>
        <sz val="9"/>
        <color indexed="8"/>
        <rFont val="Calibri"/>
        <family val="2"/>
      </rPr>
      <t xml:space="preserve">
(WinPig 2020)</t>
    </r>
  </si>
  <si>
    <t>Driftkalkyl - Smågris</t>
  </si>
  <si>
    <t>Grundförutsättningar</t>
  </si>
  <si>
    <t>Antal suggplatser (SIP)</t>
  </si>
  <si>
    <t>st</t>
  </si>
  <si>
    <t>Kr per sugga</t>
  </si>
  <si>
    <t>Kr per smågris</t>
  </si>
  <si>
    <t>Kr totalt för stallet</t>
  </si>
  <si>
    <t>Summa Särkostnader 2</t>
  </si>
  <si>
    <t>Byggnadsskal, avskrivning + ränta</t>
  </si>
  <si>
    <t xml:space="preserve">Antal avlivade och självdöda hondjur per år </t>
  </si>
  <si>
    <r>
      <rPr>
        <sz val="10"/>
        <color indexed="8"/>
        <rFont val="Calibri"/>
        <family val="2"/>
      </rPr>
      <t>Tillväxtgris (på spalt med golvvärme)</t>
    </r>
    <r>
      <rPr>
        <sz val="11"/>
        <color theme="1"/>
        <rFont val="Calibri"/>
        <family val="2"/>
        <scheme val="minor"/>
      </rPr>
      <t>: 0,05 - 0,1 kg per gris och dag</t>
    </r>
  </si>
  <si>
    <t>Summa per årssugga: 158 kg + 61 kg + (212 till 410 kg) =  430 till 630 kg</t>
  </si>
  <si>
    <t>Koncentrat Tillväxt</t>
  </si>
  <si>
    <t>ärtor</t>
  </si>
  <si>
    <t>åkerbönor</t>
  </si>
  <si>
    <t>soja</t>
  </si>
  <si>
    <t>drank</t>
  </si>
  <si>
    <t>vassle</t>
  </si>
  <si>
    <t>jäst</t>
  </si>
  <si>
    <t>drav</t>
  </si>
  <si>
    <t>rågvete</t>
  </si>
  <si>
    <t>lupin</t>
  </si>
  <si>
    <t>vetefodermjöl</t>
  </si>
  <si>
    <t>m3/sugga</t>
  </si>
  <si>
    <t>Tid per dag</t>
  </si>
  <si>
    <t>Inköpt foder - MJ NE per årssugga</t>
  </si>
  <si>
    <t>Egenprod. foder- MJ NE per årssugga</t>
  </si>
  <si>
    <t>Kronor per kilo</t>
  </si>
  <si>
    <t xml:space="preserve">Antal MJ NE per kg </t>
  </si>
  <si>
    <t>Förbrukning per årssugga</t>
  </si>
  <si>
    <t>Egenprod. foder - MJ NE per årssugga</t>
  </si>
  <si>
    <t>Totalt, suggfoder per årssugga, MJ NE</t>
  </si>
  <si>
    <t>Inköpt foder - MJ NE per prod.gris</t>
  </si>
  <si>
    <t>Egenprod. foder - MJ NE per prod.gris</t>
  </si>
  <si>
    <t>Totalt smågris- och tillväxtfoder per årssugga</t>
  </si>
  <si>
    <r>
      <t xml:space="preserve"> Dräktiga suggor ca 12-20 liter per dag, digivande suggor ca 30-40 liter per dag.</t>
    </r>
    <r>
      <rPr>
        <sz val="8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Vatten till smågrisar tillkommer.</t>
    </r>
  </si>
  <si>
    <r>
      <t xml:space="preserve">Veterinär och medicinkostnad: </t>
    </r>
    <r>
      <rPr>
        <sz val="10"/>
        <color indexed="8"/>
        <rFont val="Calibri"/>
        <family val="2"/>
      </rPr>
      <t xml:space="preserve">Uppskattad till 300-350 kr, beror på vilket vaccinationsprogram som tillämpas samt sjukdomsstatus. Om vaccination mot t.ex. mykoplasma och circovirus typ 2 sker, tillkommer cirka 450 kr per årssugga. </t>
    </r>
    <r>
      <rPr>
        <b/>
        <sz val="10"/>
        <color indexed="8"/>
        <rFont val="Calibri"/>
        <family val="2"/>
      </rPr>
      <t xml:space="preserve">Järntillskott: </t>
    </r>
    <r>
      <rPr>
        <sz val="10"/>
        <color indexed="8"/>
        <rFont val="Calibri"/>
        <family val="2"/>
      </rPr>
      <t>Beräknad till 200 kr per årssugga (järnpasta + järntorv)</t>
    </r>
  </si>
  <si>
    <t>Avgift per sugga i prod: 1-200 st, 58 kr; 300 st, 53 kr; 500 st, 45 kr; 660 st, 41 kr; 890 st, 30 kr; 1280 st, 31 kr</t>
  </si>
  <si>
    <t>Sinsuggor på djupströbädd i isolerad byggnad,1,4 kg per dag. Sinsuggor i ströad box, 0,4 kg per dag.</t>
  </si>
  <si>
    <r>
      <t xml:space="preserve">Försäkring: </t>
    </r>
    <r>
      <rPr>
        <sz val="11"/>
        <color theme="1"/>
        <rFont val="Calibri"/>
        <family val="2"/>
        <scheme val="minor"/>
      </rPr>
      <t>Grundförsäkring (samarbete G&amp;D och Agria) 21 kr per årssugga, inkl betäckta gyltor.</t>
    </r>
  </si>
  <si>
    <r>
      <t xml:space="preserve">Sugga, första djuret: 744 kr per st. Därutöver 556 kr per st.                               </t>
    </r>
    <r>
      <rPr>
        <sz val="9"/>
        <color indexed="8"/>
        <rFont val="Calibri"/>
        <family val="2"/>
      </rPr>
      <t xml:space="preserve">              Källa: Svensk Lantbrukstjänst</t>
    </r>
  </si>
  <si>
    <r>
      <rPr>
        <b/>
        <sz val="11"/>
        <color indexed="8"/>
        <rFont val="Calibri"/>
        <family val="2"/>
      </rPr>
      <t>Certifiering/2 år</t>
    </r>
    <r>
      <rPr>
        <sz val="11"/>
        <color indexed="8"/>
        <rFont val="Calibri"/>
        <family val="2"/>
      </rPr>
      <t>: Egenkontroll 1550 kr+revision  4 900 kr = 3225 kr per år</t>
    </r>
  </si>
  <si>
    <t>Ekonomiskt underlag</t>
  </si>
  <si>
    <t>Timmar</t>
  </si>
  <si>
    <t>Särkostnader 1</t>
  </si>
  <si>
    <t>Särkostnader 2</t>
  </si>
  <si>
    <t>Särkostnader 3</t>
  </si>
  <si>
    <t>Särkostnader 4</t>
  </si>
  <si>
    <t>kg</t>
  </si>
  <si>
    <t>TB 1: Intäkter - Särkostnader 1</t>
  </si>
  <si>
    <t>TB 2: Intäkter - Särkostnader 1 och 2</t>
  </si>
  <si>
    <t>TB 3: Intäkter - Särkostnader 1, 2 och 3</t>
  </si>
  <si>
    <t>TB 4: Intäkter - Särkostnader 1, 2, 3 och 4</t>
  </si>
  <si>
    <t xml:space="preserve">Totalt investerings- belopp </t>
  </si>
  <si>
    <t>kr/årssugga</t>
  </si>
  <si>
    <r>
      <t xml:space="preserve">Välj Enhet     välj  här </t>
    </r>
    <r>
      <rPr>
        <sz val="10"/>
        <rFont val="Wingdings 3"/>
        <family val="1"/>
        <charset val="2"/>
      </rPr>
      <t>q</t>
    </r>
  </si>
  <si>
    <t>Version: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</si>
</sst>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#,##0\ &quot;kr&quot;;[Red]\-#,##0\ &quot;kr&quot;"/>
    <numFmt numFmtId="164" formatCode="0.0"/>
    <numFmt numFmtId="165" formatCode="0.0%"/>
    <numFmt numFmtId="166" formatCode="#,##0_ ;[Red]\-#,##0\ "/>
    <numFmt numFmtId="167" formatCode="#,##0.00_ ;[Red]\-#,##0.00\ "/>
    <numFmt numFmtId="168" formatCode="#,##0.0"/>
    <numFmt numFmtId="169" formatCode="#,##0\ [$kr-41D]"/>
    <numFmt numFmtId="170" formatCode="#,##0.0_ ;[Red]\-#,##0.0\ "/>
    <numFmt numFmtId="171" formatCode="0&quot; dgr&quot;"/>
    <numFmt numFmtId="172" formatCode="0.0&quot; kg&quot;"/>
    <numFmt numFmtId="173" formatCode="#,##0.00\ &quot;kr&quot;"/>
    <numFmt numFmtId="174" formatCode="#,##0\ &quot;kr&quot;"/>
    <numFmt numFmtId="175" formatCode="0&quot; öre&quot;"/>
    <numFmt numFmtId="176" formatCode="#,##0&quot; kg&quot;"/>
    <numFmt numFmtId="177" formatCode="0.0&quot; öre&quot;"/>
    <numFmt numFmtId="178" formatCode="0.0&quot; tim&quot;"/>
    <numFmt numFmtId="179" formatCode="0&quot; kg&quot;"/>
    <numFmt numFmtId="180" formatCode="#,##0.0\ &quot;kr&quot;"/>
    <numFmt numFmtId="181" formatCode="#,##0.0&quot; tim&quot;"/>
  </numFmts>
  <fonts count="6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b/>
      <u/>
      <sz val="11"/>
      <color indexed="8"/>
      <name val="Calibri"/>
      <family val="2"/>
    </font>
    <font>
      <sz val="8"/>
      <color indexed="8"/>
      <name val="Calibri"/>
      <family val="2"/>
    </font>
    <font>
      <b/>
      <sz val="16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61"/>
      <name val="Calibri"/>
      <family val="2"/>
    </font>
    <font>
      <b/>
      <sz val="11"/>
      <color indexed="20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b/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mbria"/>
      <family val="2"/>
      <scheme val="major"/>
    </font>
    <font>
      <sz val="16"/>
      <color theme="0"/>
      <name val="Cambria"/>
      <family val="2"/>
      <scheme val="major"/>
    </font>
    <font>
      <sz val="22"/>
      <color theme="0"/>
      <name val="Cambria"/>
      <family val="2"/>
      <scheme val="major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u/>
      <sz val="16"/>
      <color indexed="8"/>
      <name val="Calibri"/>
      <family val="2"/>
    </font>
    <font>
      <b/>
      <sz val="10"/>
      <name val="Calibri"/>
      <family val="2"/>
    </font>
    <font>
      <sz val="10"/>
      <color theme="4" tint="-0.499984740745262"/>
      <name val="Calibri"/>
      <family val="2"/>
    </font>
    <font>
      <sz val="16"/>
      <color indexed="8"/>
      <name val="Calibri"/>
      <family val="2"/>
    </font>
    <font>
      <sz val="10"/>
      <color indexed="9"/>
      <name val="Calibri"/>
      <family val="2"/>
    </font>
    <font>
      <b/>
      <sz val="12"/>
      <name val="Calibri"/>
      <family val="2"/>
    </font>
    <font>
      <b/>
      <u/>
      <sz val="16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indexed="17"/>
      <name val="Calibri"/>
      <family val="2"/>
      <scheme val="minor"/>
    </font>
    <font>
      <b/>
      <sz val="11"/>
      <color indexed="57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5" tint="-0.249977111117893"/>
      <name val="Calibri"/>
      <family val="2"/>
    </font>
    <font>
      <sz val="10"/>
      <name val="Wingdings 3"/>
      <family val="1"/>
      <charset val="2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E3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53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3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theme="0" tint="-0.34998626667073579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51" fillId="0" borderId="0"/>
  </cellStyleXfs>
  <cellXfs count="350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13" fillId="0" borderId="0" xfId="0" applyFont="1" applyProtection="1"/>
    <xf numFmtId="0" fontId="15" fillId="0" borderId="0" xfId="0" applyFont="1" applyProtection="1"/>
    <xf numFmtId="3" fontId="14" fillId="0" borderId="0" xfId="0" applyNumberFormat="1" applyFont="1" applyBorder="1" applyProtection="1"/>
    <xf numFmtId="168" fontId="14" fillId="0" borderId="0" xfId="0" applyNumberFormat="1" applyFont="1" applyBorder="1" applyProtection="1"/>
    <xf numFmtId="0" fontId="14" fillId="0" borderId="0" xfId="0" applyFont="1" applyBorder="1" applyProtection="1"/>
    <xf numFmtId="1" fontId="0" fillId="0" borderId="0" xfId="0" applyNumberFormat="1" applyFill="1" applyBorder="1" applyProtection="1"/>
    <xf numFmtId="2" fontId="0" fillId="0" borderId="0" xfId="0" applyNumberFormat="1" applyFill="1" applyBorder="1" applyProtection="1"/>
    <xf numFmtId="0" fontId="17" fillId="0" borderId="0" xfId="0" applyFont="1" applyFill="1" applyBorder="1" applyAlignment="1" applyProtection="1">
      <alignment horizontal="center" wrapText="1"/>
    </xf>
    <xf numFmtId="3" fontId="0" fillId="0" borderId="0" xfId="0" applyNumberFormat="1" applyFill="1" applyBorder="1" applyProtection="1"/>
    <xf numFmtId="3" fontId="14" fillId="0" borderId="0" xfId="0" applyNumberFormat="1" applyFont="1" applyFill="1" applyBorder="1" applyProtection="1"/>
    <xf numFmtId="0" fontId="0" fillId="0" borderId="0" xfId="0" applyFill="1" applyBorder="1" applyProtection="1"/>
    <xf numFmtId="3" fontId="0" fillId="0" borderId="0" xfId="0" applyNumberFormat="1" applyBorder="1" applyProtection="1"/>
    <xf numFmtId="0" fontId="2" fillId="0" borderId="0" xfId="0" applyFont="1" applyBorder="1" applyProtection="1"/>
    <xf numFmtId="0" fontId="1" fillId="0" borderId="0" xfId="0" applyFont="1" applyFill="1" applyBorder="1" applyProtection="1"/>
    <xf numFmtId="165" fontId="0" fillId="0" borderId="0" xfId="0" applyNumberFormat="1" applyFill="1" applyBorder="1" applyProtection="1"/>
    <xf numFmtId="165" fontId="1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4" fontId="0" fillId="0" borderId="0" xfId="0" applyNumberFormat="1" applyProtection="1"/>
    <xf numFmtId="4" fontId="0" fillId="0" borderId="0" xfId="0" applyNumberFormat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2" fillId="0" borderId="0" xfId="0" applyFont="1" applyProtection="1"/>
    <xf numFmtId="0" fontId="12" fillId="0" borderId="0" xfId="0" applyFont="1" applyProtection="1"/>
    <xf numFmtId="166" fontId="0" fillId="0" borderId="0" xfId="0" applyNumberFormat="1" applyProtection="1"/>
    <xf numFmtId="0" fontId="0" fillId="0" borderId="0" xfId="0" applyFill="1" applyProtection="1"/>
    <xf numFmtId="0" fontId="0" fillId="0" borderId="0" xfId="0" applyAlignment="1" applyProtection="1">
      <alignment wrapText="1"/>
    </xf>
    <xf numFmtId="0" fontId="0" fillId="0" borderId="0" xfId="0" applyFill="1" applyBorder="1" applyProtection="1"/>
    <xf numFmtId="3" fontId="0" fillId="0" borderId="0" xfId="0" applyNumberFormat="1" applyFill="1" applyBorder="1" applyProtection="1"/>
    <xf numFmtId="0" fontId="15" fillId="0" borderId="0" xfId="0" applyFont="1" applyBorder="1" applyAlignment="1" applyProtection="1">
      <alignment wrapText="1"/>
    </xf>
    <xf numFmtId="0" fontId="15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Protection="1"/>
    <xf numFmtId="166" fontId="0" fillId="0" borderId="0" xfId="0" applyNumberFormat="1" applyFill="1" applyProtection="1"/>
    <xf numFmtId="0" fontId="3" fillId="0" borderId="0" xfId="0" applyFont="1" applyFill="1" applyProtection="1"/>
    <xf numFmtId="0" fontId="0" fillId="0" borderId="1" xfId="0" applyBorder="1" applyProtection="1"/>
    <xf numFmtId="167" fontId="0" fillId="0" borderId="0" xfId="0" applyNumberFormat="1" applyAlignment="1" applyProtection="1">
      <alignment horizontal="center"/>
    </xf>
    <xf numFmtId="0" fontId="2" fillId="0" borderId="0" xfId="0" applyFont="1" applyFill="1" applyBorder="1" applyProtection="1"/>
    <xf numFmtId="0" fontId="9" fillId="0" borderId="0" xfId="0" applyFont="1" applyBorder="1" applyProtection="1"/>
    <xf numFmtId="164" fontId="9" fillId="0" borderId="0" xfId="0" applyNumberFormat="1" applyFont="1" applyFill="1" applyBorder="1" applyProtection="1"/>
    <xf numFmtId="166" fontId="0" fillId="0" borderId="0" xfId="0" applyNumberFormat="1" applyAlignment="1" applyProtection="1">
      <alignment horizontal="center"/>
    </xf>
    <xf numFmtId="0" fontId="3" fillId="0" borderId="0" xfId="0" applyFont="1" applyBorder="1" applyProtection="1"/>
    <xf numFmtId="0" fontId="26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center"/>
    </xf>
    <xf numFmtId="167" fontId="26" fillId="0" borderId="0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32" fillId="4" borderId="2" xfId="0" applyFont="1" applyFill="1" applyBorder="1" applyAlignment="1">
      <alignment vertical="center"/>
    </xf>
    <xf numFmtId="1" fontId="34" fillId="4" borderId="2" xfId="0" applyNumberFormat="1" applyFont="1" applyFill="1" applyBorder="1" applyAlignment="1">
      <alignment vertical="center" shrinkToFit="1"/>
    </xf>
    <xf numFmtId="0" fontId="35" fillId="0" borderId="0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37" fillId="0" borderId="0" xfId="0" applyFont="1" applyBorder="1" applyProtection="1"/>
    <xf numFmtId="3" fontId="38" fillId="0" borderId="0" xfId="0" applyNumberFormat="1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 wrapText="1"/>
    </xf>
    <xf numFmtId="0" fontId="23" fillId="0" borderId="0" xfId="0" applyFont="1" applyBorder="1" applyAlignment="1" applyProtection="1">
      <alignment horizontal="center" wrapText="1"/>
    </xf>
    <xf numFmtId="0" fontId="18" fillId="7" borderId="6" xfId="0" applyFont="1" applyFill="1" applyBorder="1" applyAlignment="1" applyProtection="1">
      <alignment vertical="center"/>
    </xf>
    <xf numFmtId="3" fontId="18" fillId="7" borderId="6" xfId="0" applyNumberFormat="1" applyFont="1" applyFill="1" applyBorder="1" applyAlignment="1" applyProtection="1">
      <alignment vertical="center"/>
    </xf>
    <xf numFmtId="2" fontId="18" fillId="7" borderId="6" xfId="0" applyNumberFormat="1" applyFont="1" applyFill="1" applyBorder="1" applyAlignment="1" applyProtection="1">
      <alignment vertical="center"/>
    </xf>
    <xf numFmtId="171" fontId="18" fillId="8" borderId="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Protection="1"/>
    <xf numFmtId="0" fontId="37" fillId="0" borderId="0" xfId="0" applyFont="1" applyFill="1" applyBorder="1" applyProtection="1"/>
    <xf numFmtId="1" fontId="18" fillId="8" borderId="6" xfId="0" applyNumberFormat="1" applyFont="1" applyFill="1" applyBorder="1" applyAlignment="1" applyProtection="1">
      <alignment horizontal="center" vertical="center"/>
    </xf>
    <xf numFmtId="165" fontId="18" fillId="8" borderId="6" xfId="0" applyNumberFormat="1" applyFont="1" applyFill="1" applyBorder="1" applyAlignment="1" applyProtection="1">
      <alignment horizontal="center" vertical="center"/>
    </xf>
    <xf numFmtId="171" fontId="18" fillId="7" borderId="6" xfId="0" applyNumberFormat="1" applyFont="1" applyFill="1" applyBorder="1" applyAlignment="1" applyProtection="1">
      <alignment horizontal="center" vertical="center"/>
    </xf>
    <xf numFmtId="165" fontId="18" fillId="7" borderId="6" xfId="0" applyNumberFormat="1" applyFont="1" applyFill="1" applyBorder="1" applyAlignment="1" applyProtection="1">
      <alignment horizontal="center" vertical="center"/>
    </xf>
    <xf numFmtId="164" fontId="18" fillId="8" borderId="6" xfId="0" applyNumberFormat="1" applyFont="1" applyFill="1" applyBorder="1" applyAlignment="1" applyProtection="1">
      <alignment horizontal="center" vertical="center"/>
    </xf>
    <xf numFmtId="164" fontId="18" fillId="7" borderId="6" xfId="0" applyNumberFormat="1" applyFont="1" applyFill="1" applyBorder="1" applyAlignment="1" applyProtection="1">
      <alignment horizontal="center" vertical="center"/>
    </xf>
    <xf numFmtId="172" fontId="18" fillId="8" borderId="6" xfId="0" applyNumberFormat="1" applyFont="1" applyFill="1" applyBorder="1" applyAlignment="1" applyProtection="1">
      <alignment horizontal="center" vertical="center"/>
    </xf>
    <xf numFmtId="0" fontId="30" fillId="0" borderId="0" xfId="0" applyFont="1" applyBorder="1" applyProtection="1"/>
    <xf numFmtId="0" fontId="38" fillId="9" borderId="6" xfId="0" applyFont="1" applyFill="1" applyBorder="1" applyAlignment="1" applyProtection="1">
      <alignment vertical="center"/>
    </xf>
    <xf numFmtId="3" fontId="38" fillId="9" borderId="6" xfId="0" applyNumberFormat="1" applyFont="1" applyFill="1" applyBorder="1" applyAlignment="1" applyProtection="1">
      <alignment vertical="center"/>
    </xf>
    <xf numFmtId="3" fontId="38" fillId="8" borderId="6" xfId="0" applyNumberFormat="1" applyFont="1" applyFill="1" applyBorder="1" applyAlignment="1" applyProtection="1">
      <alignment horizontal="center" vertical="center"/>
    </xf>
    <xf numFmtId="3" fontId="38" fillId="9" borderId="6" xfId="0" applyNumberFormat="1" applyFont="1" applyFill="1" applyBorder="1" applyAlignment="1" applyProtection="1">
      <alignment horizontal="center" vertical="center"/>
    </xf>
    <xf numFmtId="0" fontId="0" fillId="0" borderId="7" xfId="0" applyBorder="1" applyProtection="1"/>
    <xf numFmtId="0" fontId="1" fillId="0" borderId="7" xfId="0" applyFont="1" applyFill="1" applyBorder="1" applyProtection="1"/>
    <xf numFmtId="0" fontId="0" fillId="0" borderId="7" xfId="0" applyFill="1" applyBorder="1" applyProtection="1"/>
    <xf numFmtId="0" fontId="8" fillId="0" borderId="7" xfId="0" applyFont="1" applyBorder="1" applyProtection="1"/>
    <xf numFmtId="0" fontId="0" fillId="0" borderId="0" xfId="0" applyAlignment="1" applyProtection="1">
      <alignment vertical="center"/>
    </xf>
    <xf numFmtId="172" fontId="18" fillId="7" borderId="5" xfId="0" applyNumberFormat="1" applyFont="1" applyFill="1" applyBorder="1" applyAlignment="1" applyProtection="1">
      <alignment horizontal="center" vertical="center"/>
    </xf>
    <xf numFmtId="174" fontId="18" fillId="7" borderId="5" xfId="0" applyNumberFormat="1" applyFont="1" applyFill="1" applyBorder="1" applyAlignment="1" applyProtection="1">
      <alignment horizontal="center" vertical="center"/>
    </xf>
    <xf numFmtId="172" fontId="38" fillId="9" borderId="5" xfId="0" applyNumberFormat="1" applyFont="1" applyFill="1" applyBorder="1" applyAlignment="1" applyProtection="1">
      <alignment horizontal="center" vertical="center"/>
    </xf>
    <xf numFmtId="174" fontId="38" fillId="9" borderId="5" xfId="0" applyNumberFormat="1" applyFont="1" applyFill="1" applyBorder="1" applyAlignment="1" applyProtection="1">
      <alignment horizontal="center" vertical="center"/>
    </xf>
    <xf numFmtId="175" fontId="18" fillId="7" borderId="5" xfId="0" applyNumberFormat="1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7" borderId="0" xfId="0" applyFill="1" applyBorder="1" applyProtection="1"/>
    <xf numFmtId="0" fontId="15" fillId="7" borderId="0" xfId="0" applyFont="1" applyFill="1" applyBorder="1" applyProtection="1"/>
    <xf numFmtId="0" fontId="37" fillId="7" borderId="0" xfId="0" applyFont="1" applyFill="1" applyBorder="1" applyAlignment="1" applyProtection="1">
      <alignment horizontal="center"/>
    </xf>
    <xf numFmtId="0" fontId="32" fillId="4" borderId="2" xfId="3" applyFont="1" applyFill="1" applyBorder="1" applyAlignment="1">
      <alignment vertical="center"/>
    </xf>
    <xf numFmtId="1" fontId="34" fillId="4" borderId="2" xfId="3" applyNumberFormat="1" applyFont="1" applyFill="1" applyBorder="1" applyAlignment="1">
      <alignment vertical="center" shrinkToFit="1"/>
    </xf>
    <xf numFmtId="0" fontId="6" fillId="0" borderId="0" xfId="3" applyProtection="1"/>
    <xf numFmtId="0" fontId="6" fillId="0" borderId="0" xfId="3" applyAlignment="1" applyProtection="1">
      <alignment horizontal="center"/>
    </xf>
    <xf numFmtId="0" fontId="6" fillId="0" borderId="0" xfId="3" applyAlignment="1" applyProtection="1">
      <alignment vertical="center"/>
    </xf>
    <xf numFmtId="0" fontId="37" fillId="0" borderId="0" xfId="3" applyFont="1" applyBorder="1" applyProtection="1"/>
    <xf numFmtId="0" fontId="18" fillId="0" borderId="0" xfId="3" applyFont="1" applyAlignment="1" applyProtection="1"/>
    <xf numFmtId="0" fontId="18" fillId="0" borderId="0" xfId="3" applyFont="1" applyFill="1" applyAlignment="1" applyProtection="1"/>
    <xf numFmtId="0" fontId="18" fillId="7" borderId="12" xfId="3" applyFont="1" applyFill="1" applyBorder="1" applyAlignment="1" applyProtection="1">
      <alignment vertical="center"/>
    </xf>
    <xf numFmtId="174" fontId="18" fillId="7" borderId="12" xfId="3" applyNumberFormat="1" applyFont="1" applyFill="1" applyBorder="1" applyAlignment="1" applyProtection="1">
      <alignment vertical="center"/>
    </xf>
    <xf numFmtId="173" fontId="18" fillId="7" borderId="12" xfId="3" applyNumberFormat="1" applyFont="1" applyFill="1" applyBorder="1" applyAlignment="1" applyProtection="1">
      <alignment vertical="center"/>
    </xf>
    <xf numFmtId="0" fontId="18" fillId="0" borderId="0" xfId="3" applyFont="1" applyBorder="1" applyAlignment="1" applyProtection="1">
      <alignment vertical="center"/>
    </xf>
    <xf numFmtId="0" fontId="2" fillId="9" borderId="13" xfId="3" applyFont="1" applyFill="1" applyBorder="1" applyAlignment="1" applyProtection="1">
      <alignment vertical="center"/>
    </xf>
    <xf numFmtId="3" fontId="2" fillId="9" borderId="13" xfId="3" applyNumberFormat="1" applyFont="1" applyFill="1" applyBorder="1" applyAlignment="1" applyProtection="1">
      <alignment horizontal="center" vertical="center"/>
    </xf>
    <xf numFmtId="0" fontId="2" fillId="9" borderId="14" xfId="3" applyFont="1" applyFill="1" applyBorder="1" applyAlignment="1" applyProtection="1">
      <alignment vertical="center"/>
    </xf>
    <xf numFmtId="174" fontId="20" fillId="9" borderId="12" xfId="3" applyNumberFormat="1" applyFont="1" applyFill="1" applyBorder="1" applyAlignment="1" applyProtection="1">
      <alignment vertical="center"/>
    </xf>
    <xf numFmtId="173" fontId="20" fillId="9" borderId="12" xfId="3" applyNumberFormat="1" applyFont="1" applyFill="1" applyBorder="1" applyAlignment="1" applyProtection="1">
      <alignment vertical="center"/>
    </xf>
    <xf numFmtId="0" fontId="18" fillId="0" borderId="0" xfId="3" applyFont="1" applyBorder="1" applyProtection="1"/>
    <xf numFmtId="0" fontId="18" fillId="0" borderId="0" xfId="3" applyFont="1" applyAlignment="1" applyProtection="1">
      <alignment horizontal="center"/>
    </xf>
    <xf numFmtId="1" fontId="41" fillId="0" borderId="0" xfId="3" applyNumberFormat="1" applyFont="1" applyFill="1" applyBorder="1" applyAlignment="1" applyProtection="1">
      <alignment horizontal="center" vertical="center"/>
    </xf>
    <xf numFmtId="3" fontId="18" fillId="0" borderId="0" xfId="3" applyNumberFormat="1" applyFont="1" applyBorder="1" applyAlignment="1" applyProtection="1">
      <alignment horizontal="right" vertical="center"/>
    </xf>
    <xf numFmtId="0" fontId="37" fillId="0" borderId="0" xfId="3" applyFont="1" applyBorder="1" applyAlignment="1" applyProtection="1"/>
    <xf numFmtId="0" fontId="36" fillId="10" borderId="0" xfId="3" applyFont="1" applyFill="1" applyAlignment="1" applyProtection="1">
      <alignment horizontal="center" vertical="center"/>
    </xf>
    <xf numFmtId="0" fontId="0" fillId="3" borderId="0" xfId="0" applyFill="1" applyBorder="1" applyProtection="1"/>
    <xf numFmtId="0" fontId="10" fillId="0" borderId="0" xfId="0" applyFont="1" applyBorder="1" applyAlignment="1" applyProtection="1"/>
    <xf numFmtId="0" fontId="4" fillId="0" borderId="0" xfId="0" applyFont="1" applyBorder="1" applyProtection="1"/>
    <xf numFmtId="0" fontId="2" fillId="7" borderId="0" xfId="0" applyFont="1" applyFill="1" applyBorder="1" applyProtection="1"/>
    <xf numFmtId="0" fontId="0" fillId="7" borderId="0" xfId="0" applyFill="1" applyBorder="1" applyAlignment="1" applyProtection="1">
      <alignment vertical="center" wrapText="1"/>
    </xf>
    <xf numFmtId="0" fontId="2" fillId="7" borderId="0" xfId="0" applyFont="1" applyFill="1" applyBorder="1" applyAlignment="1" applyProtection="1">
      <alignment vertical="center"/>
    </xf>
    <xf numFmtId="0" fontId="0" fillId="7" borderId="0" xfId="0" applyFill="1" applyBorder="1" applyAlignment="1" applyProtection="1">
      <alignment vertical="center"/>
    </xf>
    <xf numFmtId="0" fontId="15" fillId="7" borderId="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7" fillId="7" borderId="0" xfId="0" applyFont="1" applyFill="1" applyBorder="1" applyAlignment="1" applyProtection="1">
      <alignment vertical="center" wrapText="1"/>
    </xf>
    <xf numFmtId="0" fontId="19" fillId="0" borderId="0" xfId="3" applyFont="1" applyAlignment="1" applyProtection="1">
      <alignment vertical="center"/>
    </xf>
    <xf numFmtId="0" fontId="18" fillId="7" borderId="16" xfId="3" applyFont="1" applyFill="1" applyBorder="1" applyAlignment="1" applyProtection="1">
      <alignment vertical="center"/>
    </xf>
    <xf numFmtId="0" fontId="18" fillId="7" borderId="14" xfId="3" applyFont="1" applyFill="1" applyBorder="1" applyAlignment="1" applyProtection="1">
      <alignment vertical="center"/>
    </xf>
    <xf numFmtId="165" fontId="18" fillId="7" borderId="12" xfId="3" applyNumberFormat="1" applyFont="1" applyFill="1" applyBorder="1" applyAlignment="1" applyProtection="1">
      <alignment horizontal="center" vertical="center"/>
    </xf>
    <xf numFmtId="173" fontId="18" fillId="7" borderId="12" xfId="3" applyNumberFormat="1" applyFont="1" applyFill="1" applyBorder="1" applyAlignment="1" applyProtection="1">
      <alignment horizontal="center" vertical="center"/>
    </xf>
    <xf numFmtId="0" fontId="18" fillId="9" borderId="13" xfId="3" applyFont="1" applyFill="1" applyBorder="1" applyAlignment="1" applyProtection="1">
      <alignment vertical="center"/>
    </xf>
    <xf numFmtId="0" fontId="43" fillId="0" borderId="0" xfId="3" applyFont="1" applyAlignment="1" applyProtection="1">
      <alignment vertical="center"/>
    </xf>
    <xf numFmtId="165" fontId="18" fillId="7" borderId="0" xfId="3" applyNumberFormat="1" applyFont="1" applyFill="1" applyBorder="1" applyAlignment="1" applyProtection="1">
      <alignment horizontal="center" vertical="center"/>
    </xf>
    <xf numFmtId="3" fontId="18" fillId="7" borderId="12" xfId="3" applyNumberFormat="1" applyFont="1" applyFill="1" applyBorder="1" applyAlignment="1" applyProtection="1">
      <alignment horizontal="center" vertical="center"/>
    </xf>
    <xf numFmtId="0" fontId="18" fillId="9" borderId="15" xfId="3" applyFont="1" applyFill="1" applyBorder="1" applyAlignment="1" applyProtection="1">
      <alignment vertical="center"/>
    </xf>
    <xf numFmtId="0" fontId="42" fillId="9" borderId="13" xfId="3" applyFont="1" applyFill="1" applyBorder="1" applyAlignment="1" applyProtection="1">
      <alignment vertical="center"/>
    </xf>
    <xf numFmtId="0" fontId="20" fillId="9" borderId="13" xfId="3" applyFont="1" applyFill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67" fontId="0" fillId="0" borderId="0" xfId="0" applyNumberForma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9" fontId="29" fillId="0" borderId="0" xfId="1" applyFont="1" applyFill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6" fontId="2" fillId="0" borderId="0" xfId="0" applyNumberFormat="1" applyFont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9" fontId="29" fillId="0" borderId="0" xfId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9" fontId="1" fillId="0" borderId="0" xfId="1" applyFont="1" applyBorder="1" applyAlignment="1" applyProtection="1">
      <alignment horizontal="center" vertical="center"/>
    </xf>
    <xf numFmtId="166" fontId="9" fillId="0" borderId="0" xfId="0" applyNumberFormat="1" applyFont="1" applyAlignment="1" applyProtection="1">
      <alignment vertical="center"/>
    </xf>
    <xf numFmtId="10" fontId="29" fillId="0" borderId="0" xfId="1" applyNumberFormat="1" applyFont="1" applyBorder="1" applyAlignment="1" applyProtection="1">
      <alignment horizontal="center" vertical="center"/>
    </xf>
    <xf numFmtId="170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5" fontId="29" fillId="0" borderId="0" xfId="1" applyNumberFormat="1" applyFont="1" applyBorder="1" applyAlignment="1" applyProtection="1">
      <alignment horizontal="center" vertical="center"/>
    </xf>
    <xf numFmtId="4" fontId="0" fillId="0" borderId="0" xfId="0" applyNumberForma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167" fontId="0" fillId="0" borderId="0" xfId="0" applyNumberFormat="1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27" fillId="9" borderId="0" xfId="0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0" fontId="0" fillId="9" borderId="0" xfId="0" applyFill="1" applyAlignment="1" applyProtection="1">
      <alignment horizontal="center" vertical="center"/>
    </xf>
    <xf numFmtId="172" fontId="18" fillId="7" borderId="12" xfId="3" applyNumberFormat="1" applyFont="1" applyFill="1" applyBorder="1" applyAlignment="1" applyProtection="1">
      <alignment horizontal="center" vertical="center"/>
    </xf>
    <xf numFmtId="172" fontId="18" fillId="3" borderId="12" xfId="3" applyNumberFormat="1" applyFont="1" applyFill="1" applyBorder="1" applyAlignment="1" applyProtection="1">
      <alignment horizontal="center" vertical="center"/>
    </xf>
    <xf numFmtId="173" fontId="18" fillId="3" borderId="12" xfId="3" applyNumberFormat="1" applyFont="1" applyFill="1" applyBorder="1" applyAlignment="1" applyProtection="1">
      <alignment horizontal="center" vertical="center"/>
    </xf>
    <xf numFmtId="0" fontId="42" fillId="9" borderId="15" xfId="3" applyFont="1" applyFill="1" applyBorder="1" applyAlignment="1" applyProtection="1">
      <alignment vertical="center"/>
    </xf>
    <xf numFmtId="0" fontId="20" fillId="9" borderId="15" xfId="3" applyFont="1" applyFill="1" applyBorder="1" applyAlignment="1" applyProtection="1">
      <alignment vertical="center"/>
    </xf>
    <xf numFmtId="0" fontId="44" fillId="0" borderId="0" xfId="0" applyFont="1" applyAlignment="1" applyProtection="1">
      <alignment vertical="center" wrapText="1"/>
    </xf>
    <xf numFmtId="0" fontId="44" fillId="0" borderId="0" xfId="0" applyFont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/>
    </xf>
    <xf numFmtId="174" fontId="42" fillId="9" borderId="12" xfId="3" applyNumberFormat="1" applyFont="1" applyFill="1" applyBorder="1" applyAlignment="1" applyProtection="1">
      <alignment vertical="center"/>
    </xf>
    <xf numFmtId="2" fontId="18" fillId="8" borderId="6" xfId="0" applyNumberFormat="1" applyFont="1" applyFill="1" applyBorder="1" applyAlignment="1" applyProtection="1">
      <alignment horizontal="center" vertical="center"/>
    </xf>
    <xf numFmtId="0" fontId="35" fillId="7" borderId="6" xfId="0" applyFont="1" applyFill="1" applyBorder="1" applyAlignment="1" applyProtection="1">
      <alignment vertical="center"/>
    </xf>
    <xf numFmtId="3" fontId="18" fillId="8" borderId="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left" vertical="center"/>
    </xf>
    <xf numFmtId="6" fontId="18" fillId="0" borderId="0" xfId="0" applyNumberFormat="1" applyFont="1" applyFill="1" applyAlignment="1">
      <alignment horizontal="left" vertical="center"/>
    </xf>
    <xf numFmtId="0" fontId="18" fillId="7" borderId="6" xfId="0" applyFont="1" applyFill="1" applyBorder="1" applyAlignment="1" applyProtection="1">
      <alignment vertical="center" wrapText="1"/>
    </xf>
    <xf numFmtId="0" fontId="20" fillId="7" borderId="0" xfId="0" applyFont="1" applyFill="1" applyBorder="1" applyAlignment="1" applyProtection="1">
      <alignment vertical="center"/>
    </xf>
    <xf numFmtId="173" fontId="18" fillId="11" borderId="12" xfId="3" applyNumberFormat="1" applyFont="1" applyFill="1" applyBorder="1" applyAlignment="1" applyProtection="1">
      <alignment horizontal="center" vertical="center"/>
      <protection locked="0"/>
    </xf>
    <xf numFmtId="0" fontId="18" fillId="11" borderId="12" xfId="3" applyFont="1" applyFill="1" applyBorder="1" applyAlignment="1" applyProtection="1">
      <alignment vertical="center"/>
      <protection locked="0"/>
    </xf>
    <xf numFmtId="3" fontId="18" fillId="11" borderId="12" xfId="3" applyNumberFormat="1" applyFont="1" applyFill="1" applyBorder="1" applyAlignment="1" applyProtection="1">
      <alignment horizontal="center" vertical="center"/>
      <protection locked="0"/>
    </xf>
    <xf numFmtId="165" fontId="18" fillId="11" borderId="12" xfId="3" applyNumberFormat="1" applyFont="1" applyFill="1" applyBorder="1" applyAlignment="1" applyProtection="1">
      <alignment horizontal="center" vertical="center"/>
      <protection locked="0"/>
    </xf>
    <xf numFmtId="174" fontId="18" fillId="11" borderId="12" xfId="3" applyNumberFormat="1" applyFont="1" applyFill="1" applyBorder="1" applyAlignment="1" applyProtection="1">
      <alignment horizontal="center" vertical="center"/>
      <protection locked="0"/>
    </xf>
    <xf numFmtId="176" fontId="18" fillId="11" borderId="12" xfId="3" applyNumberFormat="1" applyFont="1" applyFill="1" applyBorder="1" applyAlignment="1" applyProtection="1">
      <alignment horizontal="center" vertical="center"/>
      <protection locked="0"/>
    </xf>
    <xf numFmtId="169" fontId="42" fillId="11" borderId="0" xfId="3" applyNumberFormat="1" applyFont="1" applyFill="1" applyBorder="1" applyAlignment="1" applyProtection="1">
      <alignment horizontal="center" vertical="center"/>
      <protection locked="0"/>
    </xf>
    <xf numFmtId="164" fontId="39" fillId="11" borderId="5" xfId="0" applyNumberFormat="1" applyFont="1" applyFill="1" applyBorder="1" applyAlignment="1" applyProtection="1">
      <alignment horizontal="center" vertical="center"/>
      <protection locked="0"/>
    </xf>
    <xf numFmtId="3" fontId="39" fillId="11" borderId="5" xfId="0" applyNumberFormat="1" applyFont="1" applyFill="1" applyBorder="1" applyAlignment="1" applyProtection="1">
      <alignment horizontal="center" vertical="center"/>
      <protection locked="0"/>
    </xf>
    <xf numFmtId="173" fontId="39" fillId="11" borderId="5" xfId="0" applyNumberFormat="1" applyFont="1" applyFill="1" applyBorder="1" applyAlignment="1" applyProtection="1">
      <alignment horizontal="center" vertical="center"/>
      <protection locked="0"/>
    </xf>
    <xf numFmtId="172" fontId="39" fillId="11" borderId="5" xfId="0" applyNumberFormat="1" applyFont="1" applyFill="1" applyBorder="1" applyAlignment="1" applyProtection="1">
      <alignment horizontal="center" vertical="center"/>
      <protection locked="0"/>
    </xf>
    <xf numFmtId="168" fontId="39" fillId="11" borderId="5" xfId="0" applyNumberFormat="1" applyFont="1" applyFill="1" applyBorder="1" applyAlignment="1" applyProtection="1">
      <alignment horizontal="center" vertical="center"/>
      <protection locked="0"/>
    </xf>
    <xf numFmtId="171" fontId="39" fillId="11" borderId="6" xfId="0" applyNumberFormat="1" applyFont="1" applyFill="1" applyBorder="1" applyAlignment="1" applyProtection="1">
      <alignment horizontal="center" vertical="center"/>
      <protection locked="0"/>
    </xf>
    <xf numFmtId="177" fontId="18" fillId="7" borderId="5" xfId="0" applyNumberFormat="1" applyFont="1" applyFill="1" applyBorder="1" applyAlignment="1" applyProtection="1">
      <alignment horizontal="center" vertical="center"/>
    </xf>
    <xf numFmtId="173" fontId="18" fillId="12" borderId="5" xfId="0" applyNumberFormat="1" applyFont="1" applyFill="1" applyBorder="1" applyAlignment="1" applyProtection="1">
      <alignment horizontal="center" vertical="center"/>
    </xf>
    <xf numFmtId="0" fontId="47" fillId="7" borderId="0" xfId="0" applyFont="1" applyFill="1" applyBorder="1"/>
    <xf numFmtId="6" fontId="1" fillId="7" borderId="0" xfId="0" applyNumberFormat="1" applyFont="1" applyFill="1" applyBorder="1"/>
    <xf numFmtId="0" fontId="0" fillId="7" borderId="0" xfId="0" applyFill="1" applyBorder="1"/>
    <xf numFmtId="0" fontId="48" fillId="0" borderId="0" xfId="0" applyFont="1" applyBorder="1" applyProtection="1"/>
    <xf numFmtId="0" fontId="18" fillId="7" borderId="19" xfId="3" applyFont="1" applyFill="1" applyBorder="1" applyAlignment="1" applyProtection="1">
      <alignment vertical="center"/>
    </xf>
    <xf numFmtId="0" fontId="49" fillId="11" borderId="6" xfId="0" applyFont="1" applyFill="1" applyBorder="1" applyAlignment="1" applyProtection="1">
      <alignment vertical="center"/>
      <protection locked="0"/>
    </xf>
    <xf numFmtId="0" fontId="50" fillId="4" borderId="2" xfId="5" applyFont="1" applyFill="1" applyBorder="1" applyAlignment="1">
      <alignment vertical="center"/>
    </xf>
    <xf numFmtId="1" fontId="53" fillId="4" borderId="2" xfId="5" applyNumberFormat="1" applyFont="1" applyFill="1" applyBorder="1" applyAlignment="1">
      <alignment vertical="center" shrinkToFit="1"/>
    </xf>
    <xf numFmtId="0" fontId="50" fillId="3" borderId="0" xfId="5" applyFont="1" applyFill="1" applyBorder="1" applyAlignment="1">
      <alignment vertical="center"/>
    </xf>
    <xf numFmtId="1" fontId="52" fillId="3" borderId="0" xfId="5" applyNumberFormat="1" applyFont="1" applyFill="1" applyBorder="1" applyAlignment="1">
      <alignment horizontal="left" vertical="center" indent="15" shrinkToFit="1"/>
    </xf>
    <xf numFmtId="1" fontId="53" fillId="3" borderId="0" xfId="5" applyNumberFormat="1" applyFont="1" applyFill="1" applyBorder="1" applyAlignment="1">
      <alignment vertical="center" shrinkToFit="1"/>
    </xf>
    <xf numFmtId="0" fontId="54" fillId="0" borderId="0" xfId="5" applyFont="1" applyAlignment="1" applyProtection="1">
      <alignment vertical="center"/>
    </xf>
    <xf numFmtId="0" fontId="54" fillId="0" borderId="0" xfId="5" applyFont="1"/>
    <xf numFmtId="0" fontId="54" fillId="0" borderId="20" xfId="5" applyFont="1" applyBorder="1" applyAlignment="1">
      <alignment vertical="top"/>
    </xf>
    <xf numFmtId="0" fontId="54" fillId="0" borderId="20" xfId="5" applyFont="1" applyBorder="1"/>
    <xf numFmtId="0" fontId="54" fillId="0" borderId="0" xfId="5" applyFont="1" applyAlignment="1">
      <alignment vertical="top"/>
    </xf>
    <xf numFmtId="0" fontId="54" fillId="0" borderId="0" xfId="5" applyFont="1" applyFill="1" applyAlignment="1">
      <alignment vertical="center"/>
    </xf>
    <xf numFmtId="0" fontId="54" fillId="0" borderId="0" xfId="5" applyFont="1" applyBorder="1" applyProtection="1"/>
    <xf numFmtId="0" fontId="54" fillId="0" borderId="0" xfId="5" applyFont="1" applyProtection="1"/>
    <xf numFmtId="0" fontId="61" fillId="7" borderId="0" xfId="5" applyFont="1" applyFill="1" applyBorder="1" applyProtection="1"/>
    <xf numFmtId="0" fontId="54" fillId="7" borderId="0" xfId="5" applyFont="1" applyFill="1" applyBorder="1" applyProtection="1"/>
    <xf numFmtId="1" fontId="62" fillId="11" borderId="0" xfId="5" applyNumberFormat="1" applyFont="1" applyFill="1" applyBorder="1" applyAlignment="1" applyProtection="1">
      <alignment horizontal="center" vertical="center"/>
    </xf>
    <xf numFmtId="0" fontId="54" fillId="2" borderId="3" xfId="5" applyFont="1" applyFill="1" applyBorder="1" applyProtection="1"/>
    <xf numFmtId="10" fontId="54" fillId="0" borderId="0" xfId="5" applyNumberFormat="1" applyFont="1" applyBorder="1" applyProtection="1"/>
    <xf numFmtId="0" fontId="0" fillId="7" borderId="21" xfId="0" applyFill="1" applyBorder="1" applyAlignment="1" applyProtection="1">
      <alignment vertical="center"/>
    </xf>
    <xf numFmtId="0" fontId="2" fillId="7" borderId="21" xfId="0" applyFont="1" applyFill="1" applyBorder="1" applyAlignment="1" applyProtection="1">
      <alignment vertical="center" shrinkToFit="1"/>
    </xf>
    <xf numFmtId="0" fontId="18" fillId="7" borderId="21" xfId="0" applyFont="1" applyFill="1" applyBorder="1" applyAlignment="1">
      <alignment horizontal="left" vertical="center"/>
    </xf>
    <xf numFmtId="0" fontId="2" fillId="7" borderId="21" xfId="0" applyFont="1" applyFill="1" applyBorder="1" applyAlignment="1" applyProtection="1">
      <alignment vertical="center"/>
    </xf>
    <xf numFmtId="0" fontId="46" fillId="7" borderId="21" xfId="0" applyFont="1" applyFill="1" applyBorder="1" applyAlignment="1" applyProtection="1">
      <alignment vertical="center"/>
    </xf>
    <xf numFmtId="0" fontId="0" fillId="7" borderId="21" xfId="0" applyFill="1" applyBorder="1" applyProtection="1"/>
    <xf numFmtId="0" fontId="38" fillId="7" borderId="6" xfId="0" applyFont="1" applyFill="1" applyBorder="1" applyAlignment="1" applyProtection="1">
      <alignment vertical="center"/>
    </xf>
    <xf numFmtId="0" fontId="36" fillId="4" borderId="0" xfId="0" applyFont="1" applyFill="1" applyAlignment="1" applyProtection="1"/>
    <xf numFmtId="168" fontId="18" fillId="7" borderId="12" xfId="3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wrapText="1"/>
    </xf>
    <xf numFmtId="0" fontId="18" fillId="5" borderId="6" xfId="0" applyFont="1" applyFill="1" applyBorder="1" applyAlignment="1" applyProtection="1">
      <alignment vertical="center"/>
    </xf>
    <xf numFmtId="179" fontId="18" fillId="7" borderId="5" xfId="0" applyNumberFormat="1" applyFont="1" applyFill="1" applyBorder="1" applyAlignment="1" applyProtection="1">
      <alignment horizontal="center" vertical="center"/>
    </xf>
    <xf numFmtId="4" fontId="39" fillId="11" borderId="5" xfId="0" applyNumberFormat="1" applyFont="1" applyFill="1" applyBorder="1" applyAlignment="1" applyProtection="1">
      <alignment horizontal="center" vertical="center"/>
      <protection locked="0"/>
    </xf>
    <xf numFmtId="164" fontId="9" fillId="14" borderId="0" xfId="0" applyNumberFormat="1" applyFont="1" applyFill="1" applyBorder="1" applyProtection="1"/>
    <xf numFmtId="0" fontId="9" fillId="14" borderId="0" xfId="0" applyFont="1" applyFill="1" applyBorder="1" applyProtection="1"/>
    <xf numFmtId="2" fontId="18" fillId="15" borderId="6" xfId="0" applyNumberFormat="1" applyFont="1" applyFill="1" applyBorder="1" applyAlignment="1" applyProtection="1">
      <alignment vertical="center"/>
    </xf>
    <xf numFmtId="179" fontId="18" fillId="15" borderId="5" xfId="0" applyNumberFormat="1" applyFont="1" applyFill="1" applyBorder="1" applyAlignment="1" applyProtection="1">
      <alignment horizontal="center" vertical="center"/>
    </xf>
    <xf numFmtId="1" fontId="18" fillId="15" borderId="5" xfId="0" applyNumberFormat="1" applyFont="1" applyFill="1" applyBorder="1" applyAlignment="1" applyProtection="1">
      <alignment horizontal="center" vertical="center"/>
    </xf>
    <xf numFmtId="174" fontId="18" fillId="16" borderId="12" xfId="3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3" applyFill="1" applyProtection="1"/>
    <xf numFmtId="0" fontId="9" fillId="0" borderId="0" xfId="0" applyFont="1" applyFill="1" applyProtection="1"/>
    <xf numFmtId="0" fontId="0" fillId="0" borderId="0" xfId="0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 wrapText="1"/>
    </xf>
    <xf numFmtId="180" fontId="18" fillId="11" borderId="12" xfId="3" applyNumberFormat="1" applyFont="1" applyFill="1" applyBorder="1" applyAlignment="1" applyProtection="1">
      <alignment horizontal="center" vertical="center"/>
      <protection locked="0"/>
    </xf>
    <xf numFmtId="168" fontId="18" fillId="11" borderId="12" xfId="0" applyNumberFormat="1" applyFont="1" applyFill="1" applyBorder="1" applyAlignment="1" applyProtection="1">
      <alignment horizontal="center" vertical="center"/>
      <protection locked="0"/>
    </xf>
    <xf numFmtId="181" fontId="18" fillId="7" borderId="12" xfId="3" applyNumberFormat="1" applyFont="1" applyFill="1" applyBorder="1" applyAlignment="1" applyProtection="1">
      <alignment horizontal="center" vertical="center"/>
    </xf>
    <xf numFmtId="174" fontId="18" fillId="0" borderId="12" xfId="3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8" fillId="0" borderId="0" xfId="0" applyFont="1" applyBorder="1" applyAlignment="1" applyProtection="1">
      <alignment horizontal="center" wrapText="1"/>
    </xf>
    <xf numFmtId="0" fontId="18" fillId="0" borderId="12" xfId="3" applyFont="1" applyFill="1" applyBorder="1" applyAlignment="1" applyProtection="1">
      <alignment vertical="center"/>
    </xf>
    <xf numFmtId="0" fontId="18" fillId="0" borderId="16" xfId="3" applyFont="1" applyFill="1" applyBorder="1" applyAlignment="1" applyProtection="1">
      <alignment vertical="center"/>
    </xf>
    <xf numFmtId="3" fontId="18" fillId="0" borderId="14" xfId="3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6" fontId="20" fillId="0" borderId="0" xfId="0" applyNumberFormat="1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67" fontId="0" fillId="0" borderId="0" xfId="0" applyNumberForma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 vertical="center"/>
    </xf>
    <xf numFmtId="166" fontId="9" fillId="0" borderId="0" xfId="0" applyNumberFormat="1" applyFont="1" applyFill="1" applyAlignment="1" applyProtection="1">
      <alignment vertical="center"/>
    </xf>
    <xf numFmtId="174" fontId="38" fillId="7" borderId="12" xfId="3" applyNumberFormat="1" applyFont="1" applyFill="1" applyBorder="1" applyAlignment="1" applyProtection="1">
      <alignment vertical="center"/>
    </xf>
    <xf numFmtId="174" fontId="38" fillId="16" borderId="12" xfId="3" applyNumberFormat="1" applyFont="1" applyFill="1" applyBorder="1" applyAlignment="1" applyProtection="1">
      <alignment horizontal="right" vertical="center"/>
      <protection locked="0"/>
    </xf>
    <xf numFmtId="165" fontId="18" fillId="16" borderId="12" xfId="3" applyNumberFormat="1" applyFont="1" applyFill="1" applyBorder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64" fillId="0" borderId="0" xfId="0" applyFont="1" applyAlignment="1" applyProtection="1">
      <alignment vertical="center"/>
    </xf>
    <xf numFmtId="174" fontId="18" fillId="11" borderId="16" xfId="3" applyNumberFormat="1" applyFont="1" applyFill="1" applyBorder="1" applyAlignment="1" applyProtection="1">
      <alignment horizontal="center" vertical="center"/>
      <protection locked="0"/>
    </xf>
    <xf numFmtId="174" fontId="4" fillId="9" borderId="12" xfId="0" applyNumberFormat="1" applyFont="1" applyFill="1" applyBorder="1" applyAlignment="1" applyProtection="1">
      <alignment vertical="center"/>
    </xf>
    <xf numFmtId="174" fontId="18" fillId="16" borderId="16" xfId="3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</xf>
    <xf numFmtId="174" fontId="38" fillId="7" borderId="16" xfId="3" applyNumberFormat="1" applyFont="1" applyFill="1" applyBorder="1" applyAlignment="1" applyProtection="1">
      <alignment vertical="center"/>
    </xf>
    <xf numFmtId="174" fontId="18" fillId="7" borderId="16" xfId="3" applyNumberFormat="1" applyFont="1" applyFill="1" applyBorder="1" applyAlignment="1" applyProtection="1">
      <alignment horizontal="center" vertical="center"/>
    </xf>
    <xf numFmtId="174" fontId="18" fillId="7" borderId="16" xfId="3" applyNumberFormat="1" applyFont="1" applyFill="1" applyBorder="1" applyAlignment="1" applyProtection="1">
      <alignment horizontal="center" vertical="center"/>
      <protection locked="0"/>
    </xf>
    <xf numFmtId="174" fontId="0" fillId="15" borderId="12" xfId="0" applyNumberFormat="1" applyFill="1" applyBorder="1" applyAlignment="1" applyProtection="1">
      <alignment vertical="center"/>
    </xf>
    <xf numFmtId="6" fontId="20" fillId="9" borderId="12" xfId="0" applyNumberFormat="1" applyFont="1" applyFill="1" applyBorder="1" applyAlignment="1" applyProtection="1">
      <alignment vertical="center"/>
    </xf>
    <xf numFmtId="6" fontId="20" fillId="17" borderId="12" xfId="0" applyNumberFormat="1" applyFont="1" applyFill="1" applyBorder="1" applyAlignment="1" applyProtection="1">
      <alignment vertical="center"/>
    </xf>
    <xf numFmtId="174" fontId="1" fillId="15" borderId="12" xfId="0" applyNumberFormat="1" applyFont="1" applyFill="1" applyBorder="1" applyAlignment="1" applyProtection="1">
      <alignment vertical="center"/>
    </xf>
    <xf numFmtId="0" fontId="19" fillId="0" borderId="15" xfId="3" applyFont="1" applyBorder="1" applyAlignment="1" applyProtection="1">
      <alignment vertical="center"/>
    </xf>
    <xf numFmtId="0" fontId="19" fillId="0" borderId="22" xfId="3" applyFont="1" applyBorder="1" applyAlignment="1" applyProtection="1">
      <alignment vertical="center"/>
    </xf>
    <xf numFmtId="0" fontId="30" fillId="7" borderId="0" xfId="0" applyFont="1" applyFill="1" applyAlignment="1" applyProtection="1">
      <alignment vertical="center"/>
    </xf>
    <xf numFmtId="166" fontId="9" fillId="3" borderId="0" xfId="0" applyNumberFormat="1" applyFont="1" applyFill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0" fontId="65" fillId="0" borderId="0" xfId="0" applyFont="1" applyBorder="1" applyAlignment="1" applyProtection="1">
      <alignment horizontal="center" wrapText="1"/>
    </xf>
    <xf numFmtId="165" fontId="18" fillId="0" borderId="12" xfId="3" applyNumberFormat="1" applyFont="1" applyFill="1" applyBorder="1" applyAlignment="1" applyProtection="1">
      <alignment horizontal="center"/>
      <protection locked="0"/>
    </xf>
    <xf numFmtId="174" fontId="18" fillId="0" borderId="12" xfId="3" applyNumberFormat="1" applyFont="1" applyFill="1" applyBorder="1" applyAlignment="1" applyProtection="1">
      <alignment horizontal="center"/>
      <protection locked="0"/>
    </xf>
    <xf numFmtId="178" fontId="18" fillId="7" borderId="12" xfId="3" applyNumberFormat="1" applyFont="1" applyFill="1" applyBorder="1" applyAlignment="1" applyProtection="1">
      <alignment horizontal="center" vertical="center"/>
    </xf>
    <xf numFmtId="178" fontId="20" fillId="9" borderId="12" xfId="3" applyNumberFormat="1" applyFont="1" applyFill="1" applyBorder="1" applyAlignment="1" applyProtection="1">
      <alignment horizontal="center" vertical="center"/>
    </xf>
    <xf numFmtId="174" fontId="18" fillId="7" borderId="12" xfId="3" applyNumberFormat="1" applyFont="1" applyFill="1" applyBorder="1" applyAlignment="1" applyProtection="1">
      <alignment horizontal="center" vertical="center"/>
    </xf>
    <xf numFmtId="174" fontId="2" fillId="9" borderId="12" xfId="3" applyNumberFormat="1" applyFont="1" applyFill="1" applyBorder="1" applyAlignment="1" applyProtection="1">
      <alignment horizontal="center" vertical="center"/>
    </xf>
    <xf numFmtId="0" fontId="18" fillId="0" borderId="0" xfId="3" applyFont="1" applyFill="1" applyAlignment="1" applyProtection="1">
      <alignment horizontal="center"/>
    </xf>
    <xf numFmtId="3" fontId="18" fillId="16" borderId="12" xfId="3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 indent="1"/>
    </xf>
    <xf numFmtId="0" fontId="56" fillId="13" borderId="0" xfId="5" applyFont="1" applyFill="1" applyBorder="1" applyAlignment="1" applyProtection="1">
      <alignment horizontal="center" vertical="center"/>
    </xf>
    <xf numFmtId="0" fontId="54" fillId="7" borderId="0" xfId="5" applyFont="1" applyFill="1" applyBorder="1" applyAlignment="1" applyProtection="1">
      <alignment horizontal="center" vertical="center" wrapText="1"/>
    </xf>
    <xf numFmtId="0" fontId="54" fillId="7" borderId="0" xfId="5" applyFont="1" applyFill="1" applyBorder="1" applyAlignment="1" applyProtection="1">
      <alignment horizontal="center" vertical="center"/>
    </xf>
    <xf numFmtId="1" fontId="52" fillId="4" borderId="2" xfId="5" applyNumberFormat="1" applyFont="1" applyFill="1" applyBorder="1" applyAlignment="1">
      <alignment horizontal="left" vertical="center" indent="15" shrinkToFit="1"/>
    </xf>
    <xf numFmtId="0" fontId="55" fillId="6" borderId="0" xfId="5" applyFont="1" applyFill="1" applyBorder="1" applyAlignment="1" applyProtection="1">
      <alignment horizontal="center" vertical="center"/>
    </xf>
    <xf numFmtId="0" fontId="57" fillId="7" borderId="0" xfId="5" applyFont="1" applyFill="1" applyBorder="1" applyAlignment="1" applyProtection="1">
      <alignment horizontal="left" vertical="center" wrapText="1"/>
    </xf>
    <xf numFmtId="1" fontId="33" fillId="4" borderId="2" xfId="0" applyNumberFormat="1" applyFont="1" applyFill="1" applyBorder="1" applyAlignment="1">
      <alignment horizontal="left" vertical="center" indent="15" shrinkToFit="1"/>
    </xf>
    <xf numFmtId="0" fontId="36" fillId="6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3" fillId="0" borderId="8" xfId="0" applyFont="1" applyBorder="1" applyAlignment="1" applyProtection="1">
      <alignment horizontal="center" wrapText="1"/>
    </xf>
    <xf numFmtId="1" fontId="0" fillId="8" borderId="17" xfId="0" applyNumberFormat="1" applyFill="1" applyBorder="1" applyAlignment="1" applyProtection="1">
      <alignment horizontal="center" vertical="center" wrapText="1"/>
    </xf>
    <xf numFmtId="1" fontId="0" fillId="8" borderId="18" xfId="0" applyNumberFormat="1" applyFill="1" applyBorder="1" applyAlignment="1" applyProtection="1">
      <alignment horizontal="center" vertical="center" wrapText="1"/>
    </xf>
    <xf numFmtId="0" fontId="36" fillId="4" borderId="0" xfId="0" applyFont="1" applyFill="1" applyAlignment="1" applyProtection="1">
      <alignment horizontal="center"/>
    </xf>
    <xf numFmtId="0" fontId="18" fillId="7" borderId="9" xfId="0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 applyProtection="1">
      <alignment horizontal="left" vertical="center"/>
    </xf>
    <xf numFmtId="0" fontId="18" fillId="0" borderId="15" xfId="0" applyFont="1" applyBorder="1" applyAlignment="1" applyProtection="1">
      <alignment horizontal="center" wrapText="1"/>
    </xf>
    <xf numFmtId="0" fontId="18" fillId="0" borderId="15" xfId="0" applyFont="1" applyBorder="1" applyAlignment="1" applyProtection="1">
      <alignment horizontal="center"/>
    </xf>
    <xf numFmtId="0" fontId="18" fillId="11" borderId="16" xfId="0" applyFont="1" applyFill="1" applyBorder="1" applyAlignment="1" applyProtection="1">
      <alignment horizontal="left" vertical="center"/>
      <protection locked="0"/>
    </xf>
    <xf numFmtId="0" fontId="18" fillId="5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wrapText="1"/>
    </xf>
    <xf numFmtId="0" fontId="36" fillId="6" borderId="0" xfId="3" applyFont="1" applyFill="1" applyBorder="1" applyAlignment="1" applyProtection="1">
      <alignment horizontal="center" vertical="center"/>
    </xf>
    <xf numFmtId="1" fontId="33" fillId="4" borderId="2" xfId="3" applyNumberFormat="1" applyFont="1" applyFill="1" applyBorder="1" applyAlignment="1">
      <alignment horizontal="left" vertical="center" indent="15" shrinkToFit="1"/>
    </xf>
    <xf numFmtId="0" fontId="18" fillId="0" borderId="15" xfId="3" applyFont="1" applyBorder="1" applyAlignment="1" applyProtection="1">
      <alignment horizontal="center"/>
    </xf>
    <xf numFmtId="174" fontId="18" fillId="11" borderId="16" xfId="3" applyNumberFormat="1" applyFont="1" applyFill="1" applyBorder="1" applyAlignment="1" applyProtection="1">
      <alignment horizontal="center" vertical="center"/>
      <protection locked="0"/>
    </xf>
    <xf numFmtId="174" fontId="18" fillId="5" borderId="14" xfId="3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left" vertical="center" wrapText="1"/>
    </xf>
    <xf numFmtId="0" fontId="44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18" fillId="11" borderId="16" xfId="3" applyFont="1" applyFill="1" applyBorder="1" applyAlignment="1" applyProtection="1">
      <alignment horizontal="left" vertical="center"/>
      <protection locked="0"/>
    </xf>
    <xf numFmtId="0" fontId="18" fillId="5" borderId="14" xfId="3" applyFont="1" applyFill="1" applyBorder="1" applyAlignment="1" applyProtection="1">
      <alignment horizontal="left" vertical="center"/>
      <protection locked="0"/>
    </xf>
    <xf numFmtId="0" fontId="18" fillId="0" borderId="15" xfId="3" applyFont="1" applyBorder="1" applyAlignment="1" applyProtection="1">
      <alignment horizontal="left"/>
    </xf>
    <xf numFmtId="0" fontId="18" fillId="0" borderId="15" xfId="3" applyFont="1" applyBorder="1" applyAlignment="1" applyProtection="1">
      <alignment horizontal="left" vertical="center"/>
    </xf>
    <xf numFmtId="0" fontId="30" fillId="16" borderId="9" xfId="0" applyFont="1" applyFill="1" applyBorder="1" applyAlignment="1" applyProtection="1">
      <alignment horizontal="center" vertical="center"/>
      <protection locked="0"/>
    </xf>
    <xf numFmtId="0" fontId="30" fillId="16" borderId="10" xfId="0" applyFont="1" applyFill="1" applyBorder="1" applyAlignment="1" applyProtection="1">
      <alignment horizontal="center" vertical="center"/>
      <protection locked="0"/>
    </xf>
    <xf numFmtId="0" fontId="18" fillId="7" borderId="16" xfId="3" applyFont="1" applyFill="1" applyBorder="1" applyAlignment="1" applyProtection="1">
      <alignment horizontal="left" vertical="center"/>
    </xf>
    <xf numFmtId="0" fontId="18" fillId="7" borderId="14" xfId="3" applyFont="1" applyFill="1" applyBorder="1" applyAlignment="1" applyProtection="1">
      <alignment horizontal="left" vertical="center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5" xr:uid="{00000000-0005-0000-0000-000003000000}"/>
    <cellStyle name="Procent" xfId="1" builtinId="5"/>
    <cellStyle name="Procent 2" xfId="4" xr:uid="{00000000-0005-0000-0000-000005000000}"/>
  </cellStyles>
  <dxfs count="0"/>
  <tableStyles count="0" defaultTableStyle="TableStyleMedium9" defaultPivotStyle="PivotStyleLight16"/>
  <colors>
    <mruColors>
      <color rgb="FFC5D9F1"/>
      <color rgb="FFD9D9D9"/>
      <color rgb="FFF2F2F2"/>
      <color rgb="FF00E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82550</xdr:colOff>
      <xdr:row>0</xdr:row>
      <xdr:rowOff>0</xdr:rowOff>
    </xdr:from>
    <xdr:to>
      <xdr:col>4</xdr:col>
      <xdr:colOff>361950</xdr:colOff>
      <xdr:row>1</xdr:row>
      <xdr:rowOff>190500</xdr:rowOff>
    </xdr:to>
    <xdr:sp macro="" textlink="">
      <xdr:nvSpPr>
        <xdr:cNvPr id="2" name="Frihandsfigu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231775" y="0"/>
          <a:ext cx="1974850" cy="571500"/>
        </a:xfrm>
        <a:custGeom>
          <a:avLst/>
          <a:gdLst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8314 w 1762300"/>
            <a:gd name="connsiteY11" fmla="*/ 561575 h 723479"/>
            <a:gd name="connsiteX12" fmla="*/ 0 w 1762300"/>
            <a:gd name="connsiteY12" fmla="*/ 542183 h 723479"/>
            <a:gd name="connsiteX13" fmla="*/ 8314 w 1762300"/>
            <a:gd name="connsiteY13" fmla="*/ 542194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0 w 1762300"/>
            <a:gd name="connsiteY11" fmla="*/ 542183 h 723479"/>
            <a:gd name="connsiteX12" fmla="*/ 8314 w 1762300"/>
            <a:gd name="connsiteY12" fmla="*/ 542194 h 723479"/>
            <a:gd name="connsiteX13" fmla="*/ 8314 w 1762300"/>
            <a:gd name="connsiteY13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542194 h 723479"/>
            <a:gd name="connsiteX12" fmla="*/ 8314 w 1762300"/>
            <a:gd name="connsiteY12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28940 w 1753986"/>
            <a:gd name="connsiteY3" fmla="*/ 565265 h 723479"/>
            <a:gd name="connsiteX4" fmla="*/ 1726842 w 1753986"/>
            <a:gd name="connsiteY4" fmla="*/ 567005 h 723479"/>
            <a:gd name="connsiteX5" fmla="*/ 1527394 w 1753986"/>
            <a:gd name="connsiteY5" fmla="*/ 612565 h 723479"/>
            <a:gd name="connsiteX6" fmla="*/ 797265 w 1753986"/>
            <a:gd name="connsiteY6" fmla="*/ 587043 h 723479"/>
            <a:gd name="connsiteX7" fmla="*/ 193022 w 1753986"/>
            <a:gd name="connsiteY7" fmla="*/ 723158 h 723479"/>
            <a:gd name="connsiteX8" fmla="*/ 16951 w 1753986"/>
            <a:gd name="connsiteY8" fmla="*/ 601111 h 723479"/>
            <a:gd name="connsiteX9" fmla="*/ 1582 w 1753986"/>
            <a:gd name="connsiteY9" fmla="*/ 565265 h 723479"/>
            <a:gd name="connsiteX10" fmla="*/ 0 w 1753986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28940 w 1768752"/>
            <a:gd name="connsiteY3" fmla="*/ 565265 h 723479"/>
            <a:gd name="connsiteX4" fmla="*/ 1768752 w 1768752"/>
            <a:gd name="connsiteY4" fmla="*/ 643205 h 723479"/>
            <a:gd name="connsiteX5" fmla="*/ 1527394 w 1768752"/>
            <a:gd name="connsiteY5" fmla="*/ 612565 h 723479"/>
            <a:gd name="connsiteX6" fmla="*/ 797265 w 1768752"/>
            <a:gd name="connsiteY6" fmla="*/ 587043 h 723479"/>
            <a:gd name="connsiteX7" fmla="*/ 193022 w 1768752"/>
            <a:gd name="connsiteY7" fmla="*/ 723158 h 723479"/>
            <a:gd name="connsiteX8" fmla="*/ 16951 w 1768752"/>
            <a:gd name="connsiteY8" fmla="*/ 601111 h 723479"/>
            <a:gd name="connsiteX9" fmla="*/ 1582 w 1768752"/>
            <a:gd name="connsiteY9" fmla="*/ 565265 h 723479"/>
            <a:gd name="connsiteX10" fmla="*/ 0 w 1768752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68752 w 1768752"/>
            <a:gd name="connsiteY3" fmla="*/ 643205 h 723479"/>
            <a:gd name="connsiteX4" fmla="*/ 1527394 w 1768752"/>
            <a:gd name="connsiteY4" fmla="*/ 612565 h 723479"/>
            <a:gd name="connsiteX5" fmla="*/ 797265 w 1768752"/>
            <a:gd name="connsiteY5" fmla="*/ 587043 h 723479"/>
            <a:gd name="connsiteX6" fmla="*/ 193022 w 1768752"/>
            <a:gd name="connsiteY6" fmla="*/ 723158 h 723479"/>
            <a:gd name="connsiteX7" fmla="*/ 16951 w 1768752"/>
            <a:gd name="connsiteY7" fmla="*/ 601111 h 723479"/>
            <a:gd name="connsiteX8" fmla="*/ 1582 w 1768752"/>
            <a:gd name="connsiteY8" fmla="*/ 565265 h 723479"/>
            <a:gd name="connsiteX9" fmla="*/ 0 w 1768752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15412 w 1753986"/>
            <a:gd name="connsiteY3" fmla="*/ 61653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527394 w 1753986"/>
            <a:gd name="connsiteY3" fmla="*/ 612565 h 723479"/>
            <a:gd name="connsiteX4" fmla="*/ 797265 w 1753986"/>
            <a:gd name="connsiteY4" fmla="*/ 587043 h 723479"/>
            <a:gd name="connsiteX5" fmla="*/ 193022 w 1753986"/>
            <a:gd name="connsiteY5" fmla="*/ 723158 h 723479"/>
            <a:gd name="connsiteX6" fmla="*/ 16951 w 1753986"/>
            <a:gd name="connsiteY6" fmla="*/ 601111 h 723479"/>
            <a:gd name="connsiteX7" fmla="*/ 1582 w 1753986"/>
            <a:gd name="connsiteY7" fmla="*/ 565265 h 723479"/>
            <a:gd name="connsiteX8" fmla="*/ 0 w 1753986"/>
            <a:gd name="connsiteY8" fmla="*/ 0 h 723479"/>
            <a:gd name="connsiteX0" fmla="*/ 0 w 1753986"/>
            <a:gd name="connsiteY0" fmla="*/ 0 h 677892"/>
            <a:gd name="connsiteX1" fmla="*/ 1753986 w 1753986"/>
            <a:gd name="connsiteY1" fmla="*/ 0 h 677892"/>
            <a:gd name="connsiteX2" fmla="*/ 1753986 w 1753986"/>
            <a:gd name="connsiteY2" fmla="*/ 565265 h 677892"/>
            <a:gd name="connsiteX3" fmla="*/ 1527394 w 1753986"/>
            <a:gd name="connsiteY3" fmla="*/ 612565 h 677892"/>
            <a:gd name="connsiteX4" fmla="*/ 797265 w 1753986"/>
            <a:gd name="connsiteY4" fmla="*/ 587043 h 677892"/>
            <a:gd name="connsiteX5" fmla="*/ 273032 w 1753986"/>
            <a:gd name="connsiteY5" fmla="*/ 677438 h 677892"/>
            <a:gd name="connsiteX6" fmla="*/ 16951 w 1753986"/>
            <a:gd name="connsiteY6" fmla="*/ 601111 h 677892"/>
            <a:gd name="connsiteX7" fmla="*/ 1582 w 1753986"/>
            <a:gd name="connsiteY7" fmla="*/ 565265 h 677892"/>
            <a:gd name="connsiteX8" fmla="*/ 0 w 1753986"/>
            <a:gd name="connsiteY8" fmla="*/ 0 h 677892"/>
            <a:gd name="connsiteX0" fmla="*/ 0 w 1753986"/>
            <a:gd name="connsiteY0" fmla="*/ 0 h 696473"/>
            <a:gd name="connsiteX1" fmla="*/ 1753986 w 1753986"/>
            <a:gd name="connsiteY1" fmla="*/ 0 h 696473"/>
            <a:gd name="connsiteX2" fmla="*/ 1753986 w 1753986"/>
            <a:gd name="connsiteY2" fmla="*/ 565265 h 696473"/>
            <a:gd name="connsiteX3" fmla="*/ 1527394 w 1753986"/>
            <a:gd name="connsiteY3" fmla="*/ 696385 h 696473"/>
            <a:gd name="connsiteX4" fmla="*/ 797265 w 1753986"/>
            <a:gd name="connsiteY4" fmla="*/ 587043 h 696473"/>
            <a:gd name="connsiteX5" fmla="*/ 273032 w 1753986"/>
            <a:gd name="connsiteY5" fmla="*/ 677438 h 696473"/>
            <a:gd name="connsiteX6" fmla="*/ 16951 w 1753986"/>
            <a:gd name="connsiteY6" fmla="*/ 601111 h 696473"/>
            <a:gd name="connsiteX7" fmla="*/ 1582 w 1753986"/>
            <a:gd name="connsiteY7" fmla="*/ 565265 h 696473"/>
            <a:gd name="connsiteX8" fmla="*/ 0 w 1753986"/>
            <a:gd name="connsiteY8" fmla="*/ 0 h 696473"/>
            <a:gd name="connsiteX0" fmla="*/ 0 w 1753986"/>
            <a:gd name="connsiteY0" fmla="*/ 0 h 677850"/>
            <a:gd name="connsiteX1" fmla="*/ 1753986 w 1753986"/>
            <a:gd name="connsiteY1" fmla="*/ 0 h 677850"/>
            <a:gd name="connsiteX2" fmla="*/ 1753986 w 1753986"/>
            <a:gd name="connsiteY2" fmla="*/ 565265 h 677850"/>
            <a:gd name="connsiteX3" fmla="*/ 1527394 w 1753986"/>
            <a:gd name="connsiteY3" fmla="*/ 669715 h 677850"/>
            <a:gd name="connsiteX4" fmla="*/ 797265 w 1753986"/>
            <a:gd name="connsiteY4" fmla="*/ 587043 h 677850"/>
            <a:gd name="connsiteX5" fmla="*/ 273032 w 1753986"/>
            <a:gd name="connsiteY5" fmla="*/ 677438 h 677850"/>
            <a:gd name="connsiteX6" fmla="*/ 16951 w 1753986"/>
            <a:gd name="connsiteY6" fmla="*/ 601111 h 677850"/>
            <a:gd name="connsiteX7" fmla="*/ 1582 w 1753986"/>
            <a:gd name="connsiteY7" fmla="*/ 565265 h 677850"/>
            <a:gd name="connsiteX8" fmla="*/ 0 w 1753986"/>
            <a:gd name="connsiteY8" fmla="*/ 0 h 677850"/>
            <a:gd name="connsiteX0" fmla="*/ 0 w 1753986"/>
            <a:gd name="connsiteY0" fmla="*/ 0 h 677858"/>
            <a:gd name="connsiteX1" fmla="*/ 1753986 w 1753986"/>
            <a:gd name="connsiteY1" fmla="*/ 0 h 677858"/>
            <a:gd name="connsiteX2" fmla="*/ 1753986 w 1753986"/>
            <a:gd name="connsiteY2" fmla="*/ 565265 h 677858"/>
            <a:gd name="connsiteX3" fmla="*/ 1405474 w 1753986"/>
            <a:gd name="connsiteY3" fmla="*/ 658285 h 677858"/>
            <a:gd name="connsiteX4" fmla="*/ 797265 w 1753986"/>
            <a:gd name="connsiteY4" fmla="*/ 587043 h 677858"/>
            <a:gd name="connsiteX5" fmla="*/ 273032 w 1753986"/>
            <a:gd name="connsiteY5" fmla="*/ 677438 h 677858"/>
            <a:gd name="connsiteX6" fmla="*/ 16951 w 1753986"/>
            <a:gd name="connsiteY6" fmla="*/ 601111 h 677858"/>
            <a:gd name="connsiteX7" fmla="*/ 1582 w 1753986"/>
            <a:gd name="connsiteY7" fmla="*/ 565265 h 677858"/>
            <a:gd name="connsiteX8" fmla="*/ 0 w 1753986"/>
            <a:gd name="connsiteY8" fmla="*/ 0 h 677858"/>
            <a:gd name="connsiteX0" fmla="*/ 0 w 1753986"/>
            <a:gd name="connsiteY0" fmla="*/ 0 h 677861"/>
            <a:gd name="connsiteX1" fmla="*/ 1753986 w 1753986"/>
            <a:gd name="connsiteY1" fmla="*/ 0 h 677861"/>
            <a:gd name="connsiteX2" fmla="*/ 1753986 w 1753986"/>
            <a:gd name="connsiteY2" fmla="*/ 565265 h 677861"/>
            <a:gd name="connsiteX3" fmla="*/ 1367374 w 1753986"/>
            <a:gd name="connsiteY3" fmla="*/ 654475 h 677861"/>
            <a:gd name="connsiteX4" fmla="*/ 797265 w 1753986"/>
            <a:gd name="connsiteY4" fmla="*/ 587043 h 677861"/>
            <a:gd name="connsiteX5" fmla="*/ 273032 w 1753986"/>
            <a:gd name="connsiteY5" fmla="*/ 677438 h 677861"/>
            <a:gd name="connsiteX6" fmla="*/ 16951 w 1753986"/>
            <a:gd name="connsiteY6" fmla="*/ 601111 h 677861"/>
            <a:gd name="connsiteX7" fmla="*/ 1582 w 1753986"/>
            <a:gd name="connsiteY7" fmla="*/ 565265 h 677861"/>
            <a:gd name="connsiteX8" fmla="*/ 0 w 1753986"/>
            <a:gd name="connsiteY8" fmla="*/ 0 h 677861"/>
            <a:gd name="connsiteX0" fmla="*/ 0 w 1753986"/>
            <a:gd name="connsiteY0" fmla="*/ 0 h 677863"/>
            <a:gd name="connsiteX1" fmla="*/ 1753986 w 1753986"/>
            <a:gd name="connsiteY1" fmla="*/ 0 h 677863"/>
            <a:gd name="connsiteX2" fmla="*/ 1753986 w 1753986"/>
            <a:gd name="connsiteY2" fmla="*/ 565265 h 677863"/>
            <a:gd name="connsiteX3" fmla="*/ 1355944 w 1753986"/>
            <a:gd name="connsiteY3" fmla="*/ 650665 h 677863"/>
            <a:gd name="connsiteX4" fmla="*/ 797265 w 1753986"/>
            <a:gd name="connsiteY4" fmla="*/ 587043 h 677863"/>
            <a:gd name="connsiteX5" fmla="*/ 273032 w 1753986"/>
            <a:gd name="connsiteY5" fmla="*/ 677438 h 677863"/>
            <a:gd name="connsiteX6" fmla="*/ 16951 w 1753986"/>
            <a:gd name="connsiteY6" fmla="*/ 601111 h 677863"/>
            <a:gd name="connsiteX7" fmla="*/ 1582 w 1753986"/>
            <a:gd name="connsiteY7" fmla="*/ 565265 h 677863"/>
            <a:gd name="connsiteX8" fmla="*/ 0 w 1753986"/>
            <a:gd name="connsiteY8" fmla="*/ 0 h 677863"/>
            <a:gd name="connsiteX0" fmla="*/ 0 w 1753986"/>
            <a:gd name="connsiteY0" fmla="*/ 0 h 677545"/>
            <a:gd name="connsiteX1" fmla="*/ 1753986 w 1753986"/>
            <a:gd name="connsiteY1" fmla="*/ 0 h 677545"/>
            <a:gd name="connsiteX2" fmla="*/ 1753986 w 1753986"/>
            <a:gd name="connsiteY2" fmla="*/ 565265 h 677545"/>
            <a:gd name="connsiteX3" fmla="*/ 1355944 w 1753986"/>
            <a:gd name="connsiteY3" fmla="*/ 650665 h 677545"/>
            <a:gd name="connsiteX4" fmla="*/ 797265 w 1753986"/>
            <a:gd name="connsiteY4" fmla="*/ 587043 h 677545"/>
            <a:gd name="connsiteX5" fmla="*/ 273032 w 1753986"/>
            <a:gd name="connsiteY5" fmla="*/ 677438 h 677545"/>
            <a:gd name="connsiteX6" fmla="*/ 1582 w 1753986"/>
            <a:gd name="connsiteY6" fmla="*/ 565265 h 677545"/>
            <a:gd name="connsiteX7" fmla="*/ 0 w 1753986"/>
            <a:gd name="connsiteY7" fmla="*/ 0 h 677545"/>
            <a:gd name="connsiteX0" fmla="*/ 0 w 1753986"/>
            <a:gd name="connsiteY0" fmla="*/ 0 h 669933"/>
            <a:gd name="connsiteX1" fmla="*/ 1753986 w 1753986"/>
            <a:gd name="connsiteY1" fmla="*/ 0 h 669933"/>
            <a:gd name="connsiteX2" fmla="*/ 1753986 w 1753986"/>
            <a:gd name="connsiteY2" fmla="*/ 565265 h 669933"/>
            <a:gd name="connsiteX3" fmla="*/ 1355944 w 1753986"/>
            <a:gd name="connsiteY3" fmla="*/ 650665 h 669933"/>
            <a:gd name="connsiteX4" fmla="*/ 797265 w 1753986"/>
            <a:gd name="connsiteY4" fmla="*/ 587043 h 669933"/>
            <a:gd name="connsiteX5" fmla="*/ 307322 w 1753986"/>
            <a:gd name="connsiteY5" fmla="*/ 669818 h 669933"/>
            <a:gd name="connsiteX6" fmla="*/ 1582 w 1753986"/>
            <a:gd name="connsiteY6" fmla="*/ 565265 h 669933"/>
            <a:gd name="connsiteX7" fmla="*/ 0 w 1753986"/>
            <a:gd name="connsiteY7" fmla="*/ 0 h 6699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53986" h="669933">
              <a:moveTo>
                <a:pt x="0" y="0"/>
              </a:moveTo>
              <a:lnTo>
                <a:pt x="1753986" y="0"/>
              </a:lnTo>
              <a:lnTo>
                <a:pt x="1753986" y="565265"/>
              </a:lnTo>
              <a:cubicBezTo>
                <a:pt x="1716221" y="667359"/>
                <a:pt x="1515398" y="647035"/>
                <a:pt x="1355944" y="650665"/>
              </a:cubicBezTo>
              <a:cubicBezTo>
                <a:pt x="1196491" y="654295"/>
                <a:pt x="972035" y="583851"/>
                <a:pt x="797265" y="587043"/>
              </a:cubicBezTo>
              <a:cubicBezTo>
                <a:pt x="622495" y="590235"/>
                <a:pt x="439936" y="673448"/>
                <a:pt x="307322" y="669818"/>
              </a:cubicBezTo>
              <a:cubicBezTo>
                <a:pt x="174708" y="666188"/>
                <a:pt x="47087" y="678171"/>
                <a:pt x="1582" y="565265"/>
              </a:cubicBezTo>
              <a:cubicBezTo>
                <a:pt x="1055" y="376843"/>
                <a:pt x="527" y="188422"/>
                <a:pt x="0" y="0"/>
              </a:cubicBezTo>
              <a:close/>
            </a:path>
          </a:pathLst>
        </a:custGeom>
        <a:solidFill>
          <a:srgbClr val="173A5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/>
            <a:t>INTRODUKTION</a:t>
          </a:r>
        </a:p>
      </xdr:txBody>
    </xdr:sp>
    <xdr:clientData/>
  </xdr:twoCellAnchor>
  <xdr:twoCellAnchor>
    <xdr:from>
      <xdr:col>0</xdr:col>
      <xdr:colOff>126999</xdr:colOff>
      <xdr:row>6</xdr:row>
      <xdr:rowOff>60325</xdr:rowOff>
    </xdr:from>
    <xdr:to>
      <xdr:col>12</xdr:col>
      <xdr:colOff>6350</xdr:colOff>
      <xdr:row>6</xdr:row>
      <xdr:rowOff>898979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999" y="2762250"/>
          <a:ext cx="6575426" cy="8386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Denna mall är framtagen inom projektet ”Utökad grisproduktion på Gotland” som finansieras av Landsbygdsprogrammet 2014-2020 och Leader Gute. Projektet är ett samarbetsprojekt mellan RISE Jordbruk och trädgård, Gotlands Slagteri AB, Gård och Djurhälsan och gotländska grisproducenter. </a:t>
          </a:r>
          <a:endParaRPr lang="sv-SE">
            <a:effectLst/>
          </a:endParaRP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Ursprungsmallen är utarbetad av Marie Carlsson, Sofie Sundgren, Therese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Pettersson, Olof Wassberg, Agnes Willén och Jesper Åkerblom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Agronomprogrammet SLU.</a:t>
          </a:r>
          <a:endParaRPr lang="sv-SE">
            <a:effectLst/>
          </a:endParaRPr>
        </a:p>
      </xdr:txBody>
    </xdr:sp>
    <xdr:clientData/>
  </xdr:twoCellAnchor>
  <xdr:twoCellAnchor editAs="absolute">
    <xdr:from>
      <xdr:col>4</xdr:col>
      <xdr:colOff>114300</xdr:colOff>
      <xdr:row>3</xdr:row>
      <xdr:rowOff>28575</xdr:rowOff>
    </xdr:from>
    <xdr:to>
      <xdr:col>6</xdr:col>
      <xdr:colOff>205300</xdr:colOff>
      <xdr:row>3</xdr:row>
      <xdr:rowOff>1288575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240" y="1019175"/>
          <a:ext cx="1279720" cy="1260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358775</xdr:colOff>
      <xdr:row>3</xdr:row>
      <xdr:rowOff>69849</xdr:rowOff>
    </xdr:from>
    <xdr:to>
      <xdr:col>8</xdr:col>
      <xdr:colOff>156258</xdr:colOff>
      <xdr:row>3</xdr:row>
      <xdr:rowOff>1077849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435" y="1060449"/>
          <a:ext cx="986203" cy="100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450849</xdr:colOff>
      <xdr:row>3</xdr:row>
      <xdr:rowOff>52198</xdr:rowOff>
    </xdr:from>
    <xdr:to>
      <xdr:col>11</xdr:col>
      <xdr:colOff>287769</xdr:colOff>
      <xdr:row>3</xdr:row>
      <xdr:rowOff>625056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2" r="11456"/>
        <a:stretch/>
      </xdr:blipFill>
      <xdr:spPr>
        <a:xfrm>
          <a:off x="4634229" y="1042798"/>
          <a:ext cx="1620000" cy="572858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0</xdr:rowOff>
    </xdr:from>
    <xdr:to>
      <xdr:col>2</xdr:col>
      <xdr:colOff>444500</xdr:colOff>
      <xdr:row>1</xdr:row>
      <xdr:rowOff>247650</xdr:rowOff>
    </xdr:to>
    <xdr:sp macro="" textlink="">
      <xdr:nvSpPr>
        <xdr:cNvPr id="3" name="Frihandsfigu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409575" y="0"/>
          <a:ext cx="3108325" cy="628650"/>
        </a:xfrm>
        <a:custGeom>
          <a:avLst/>
          <a:gdLst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8314 w 1762300"/>
            <a:gd name="connsiteY11" fmla="*/ 561575 h 723479"/>
            <a:gd name="connsiteX12" fmla="*/ 0 w 1762300"/>
            <a:gd name="connsiteY12" fmla="*/ 542183 h 723479"/>
            <a:gd name="connsiteX13" fmla="*/ 8314 w 1762300"/>
            <a:gd name="connsiteY13" fmla="*/ 542194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0 w 1762300"/>
            <a:gd name="connsiteY11" fmla="*/ 542183 h 723479"/>
            <a:gd name="connsiteX12" fmla="*/ 8314 w 1762300"/>
            <a:gd name="connsiteY12" fmla="*/ 542194 h 723479"/>
            <a:gd name="connsiteX13" fmla="*/ 8314 w 1762300"/>
            <a:gd name="connsiteY13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542194 h 723479"/>
            <a:gd name="connsiteX12" fmla="*/ 8314 w 1762300"/>
            <a:gd name="connsiteY12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28940 w 1753986"/>
            <a:gd name="connsiteY3" fmla="*/ 565265 h 723479"/>
            <a:gd name="connsiteX4" fmla="*/ 1726842 w 1753986"/>
            <a:gd name="connsiteY4" fmla="*/ 567005 h 723479"/>
            <a:gd name="connsiteX5" fmla="*/ 1527394 w 1753986"/>
            <a:gd name="connsiteY5" fmla="*/ 612565 h 723479"/>
            <a:gd name="connsiteX6" fmla="*/ 797265 w 1753986"/>
            <a:gd name="connsiteY6" fmla="*/ 587043 h 723479"/>
            <a:gd name="connsiteX7" fmla="*/ 193022 w 1753986"/>
            <a:gd name="connsiteY7" fmla="*/ 723158 h 723479"/>
            <a:gd name="connsiteX8" fmla="*/ 16951 w 1753986"/>
            <a:gd name="connsiteY8" fmla="*/ 601111 h 723479"/>
            <a:gd name="connsiteX9" fmla="*/ 1582 w 1753986"/>
            <a:gd name="connsiteY9" fmla="*/ 565265 h 723479"/>
            <a:gd name="connsiteX10" fmla="*/ 0 w 1753986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28940 w 1768752"/>
            <a:gd name="connsiteY3" fmla="*/ 565265 h 723479"/>
            <a:gd name="connsiteX4" fmla="*/ 1768752 w 1768752"/>
            <a:gd name="connsiteY4" fmla="*/ 643205 h 723479"/>
            <a:gd name="connsiteX5" fmla="*/ 1527394 w 1768752"/>
            <a:gd name="connsiteY5" fmla="*/ 612565 h 723479"/>
            <a:gd name="connsiteX6" fmla="*/ 797265 w 1768752"/>
            <a:gd name="connsiteY6" fmla="*/ 587043 h 723479"/>
            <a:gd name="connsiteX7" fmla="*/ 193022 w 1768752"/>
            <a:gd name="connsiteY7" fmla="*/ 723158 h 723479"/>
            <a:gd name="connsiteX8" fmla="*/ 16951 w 1768752"/>
            <a:gd name="connsiteY8" fmla="*/ 601111 h 723479"/>
            <a:gd name="connsiteX9" fmla="*/ 1582 w 1768752"/>
            <a:gd name="connsiteY9" fmla="*/ 565265 h 723479"/>
            <a:gd name="connsiteX10" fmla="*/ 0 w 1768752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68752 w 1768752"/>
            <a:gd name="connsiteY3" fmla="*/ 643205 h 723479"/>
            <a:gd name="connsiteX4" fmla="*/ 1527394 w 1768752"/>
            <a:gd name="connsiteY4" fmla="*/ 612565 h 723479"/>
            <a:gd name="connsiteX5" fmla="*/ 797265 w 1768752"/>
            <a:gd name="connsiteY5" fmla="*/ 587043 h 723479"/>
            <a:gd name="connsiteX6" fmla="*/ 193022 w 1768752"/>
            <a:gd name="connsiteY6" fmla="*/ 723158 h 723479"/>
            <a:gd name="connsiteX7" fmla="*/ 16951 w 1768752"/>
            <a:gd name="connsiteY7" fmla="*/ 601111 h 723479"/>
            <a:gd name="connsiteX8" fmla="*/ 1582 w 1768752"/>
            <a:gd name="connsiteY8" fmla="*/ 565265 h 723479"/>
            <a:gd name="connsiteX9" fmla="*/ 0 w 1768752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15412 w 1753986"/>
            <a:gd name="connsiteY3" fmla="*/ 61653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527394 w 1753986"/>
            <a:gd name="connsiteY3" fmla="*/ 612565 h 723479"/>
            <a:gd name="connsiteX4" fmla="*/ 797265 w 1753986"/>
            <a:gd name="connsiteY4" fmla="*/ 587043 h 723479"/>
            <a:gd name="connsiteX5" fmla="*/ 193022 w 1753986"/>
            <a:gd name="connsiteY5" fmla="*/ 723158 h 723479"/>
            <a:gd name="connsiteX6" fmla="*/ 16951 w 1753986"/>
            <a:gd name="connsiteY6" fmla="*/ 601111 h 723479"/>
            <a:gd name="connsiteX7" fmla="*/ 1582 w 1753986"/>
            <a:gd name="connsiteY7" fmla="*/ 565265 h 723479"/>
            <a:gd name="connsiteX8" fmla="*/ 0 w 1753986"/>
            <a:gd name="connsiteY8" fmla="*/ 0 h 723479"/>
            <a:gd name="connsiteX0" fmla="*/ 0 w 1753986"/>
            <a:gd name="connsiteY0" fmla="*/ 0 h 677892"/>
            <a:gd name="connsiteX1" fmla="*/ 1753986 w 1753986"/>
            <a:gd name="connsiteY1" fmla="*/ 0 h 677892"/>
            <a:gd name="connsiteX2" fmla="*/ 1753986 w 1753986"/>
            <a:gd name="connsiteY2" fmla="*/ 565265 h 677892"/>
            <a:gd name="connsiteX3" fmla="*/ 1527394 w 1753986"/>
            <a:gd name="connsiteY3" fmla="*/ 612565 h 677892"/>
            <a:gd name="connsiteX4" fmla="*/ 797265 w 1753986"/>
            <a:gd name="connsiteY4" fmla="*/ 587043 h 677892"/>
            <a:gd name="connsiteX5" fmla="*/ 273032 w 1753986"/>
            <a:gd name="connsiteY5" fmla="*/ 677438 h 677892"/>
            <a:gd name="connsiteX6" fmla="*/ 16951 w 1753986"/>
            <a:gd name="connsiteY6" fmla="*/ 601111 h 677892"/>
            <a:gd name="connsiteX7" fmla="*/ 1582 w 1753986"/>
            <a:gd name="connsiteY7" fmla="*/ 565265 h 677892"/>
            <a:gd name="connsiteX8" fmla="*/ 0 w 1753986"/>
            <a:gd name="connsiteY8" fmla="*/ 0 h 677892"/>
            <a:gd name="connsiteX0" fmla="*/ 0 w 1753986"/>
            <a:gd name="connsiteY0" fmla="*/ 0 h 696473"/>
            <a:gd name="connsiteX1" fmla="*/ 1753986 w 1753986"/>
            <a:gd name="connsiteY1" fmla="*/ 0 h 696473"/>
            <a:gd name="connsiteX2" fmla="*/ 1753986 w 1753986"/>
            <a:gd name="connsiteY2" fmla="*/ 565265 h 696473"/>
            <a:gd name="connsiteX3" fmla="*/ 1527394 w 1753986"/>
            <a:gd name="connsiteY3" fmla="*/ 696385 h 696473"/>
            <a:gd name="connsiteX4" fmla="*/ 797265 w 1753986"/>
            <a:gd name="connsiteY4" fmla="*/ 587043 h 696473"/>
            <a:gd name="connsiteX5" fmla="*/ 273032 w 1753986"/>
            <a:gd name="connsiteY5" fmla="*/ 677438 h 696473"/>
            <a:gd name="connsiteX6" fmla="*/ 16951 w 1753986"/>
            <a:gd name="connsiteY6" fmla="*/ 601111 h 696473"/>
            <a:gd name="connsiteX7" fmla="*/ 1582 w 1753986"/>
            <a:gd name="connsiteY7" fmla="*/ 565265 h 696473"/>
            <a:gd name="connsiteX8" fmla="*/ 0 w 1753986"/>
            <a:gd name="connsiteY8" fmla="*/ 0 h 696473"/>
            <a:gd name="connsiteX0" fmla="*/ 0 w 1753986"/>
            <a:gd name="connsiteY0" fmla="*/ 0 h 677850"/>
            <a:gd name="connsiteX1" fmla="*/ 1753986 w 1753986"/>
            <a:gd name="connsiteY1" fmla="*/ 0 h 677850"/>
            <a:gd name="connsiteX2" fmla="*/ 1753986 w 1753986"/>
            <a:gd name="connsiteY2" fmla="*/ 565265 h 677850"/>
            <a:gd name="connsiteX3" fmla="*/ 1527394 w 1753986"/>
            <a:gd name="connsiteY3" fmla="*/ 669715 h 677850"/>
            <a:gd name="connsiteX4" fmla="*/ 797265 w 1753986"/>
            <a:gd name="connsiteY4" fmla="*/ 587043 h 677850"/>
            <a:gd name="connsiteX5" fmla="*/ 273032 w 1753986"/>
            <a:gd name="connsiteY5" fmla="*/ 677438 h 677850"/>
            <a:gd name="connsiteX6" fmla="*/ 16951 w 1753986"/>
            <a:gd name="connsiteY6" fmla="*/ 601111 h 677850"/>
            <a:gd name="connsiteX7" fmla="*/ 1582 w 1753986"/>
            <a:gd name="connsiteY7" fmla="*/ 565265 h 677850"/>
            <a:gd name="connsiteX8" fmla="*/ 0 w 1753986"/>
            <a:gd name="connsiteY8" fmla="*/ 0 h 677850"/>
            <a:gd name="connsiteX0" fmla="*/ 0 w 1753986"/>
            <a:gd name="connsiteY0" fmla="*/ 0 h 677858"/>
            <a:gd name="connsiteX1" fmla="*/ 1753986 w 1753986"/>
            <a:gd name="connsiteY1" fmla="*/ 0 h 677858"/>
            <a:gd name="connsiteX2" fmla="*/ 1753986 w 1753986"/>
            <a:gd name="connsiteY2" fmla="*/ 565265 h 677858"/>
            <a:gd name="connsiteX3" fmla="*/ 1405474 w 1753986"/>
            <a:gd name="connsiteY3" fmla="*/ 658285 h 677858"/>
            <a:gd name="connsiteX4" fmla="*/ 797265 w 1753986"/>
            <a:gd name="connsiteY4" fmla="*/ 587043 h 677858"/>
            <a:gd name="connsiteX5" fmla="*/ 273032 w 1753986"/>
            <a:gd name="connsiteY5" fmla="*/ 677438 h 677858"/>
            <a:gd name="connsiteX6" fmla="*/ 16951 w 1753986"/>
            <a:gd name="connsiteY6" fmla="*/ 601111 h 677858"/>
            <a:gd name="connsiteX7" fmla="*/ 1582 w 1753986"/>
            <a:gd name="connsiteY7" fmla="*/ 565265 h 677858"/>
            <a:gd name="connsiteX8" fmla="*/ 0 w 1753986"/>
            <a:gd name="connsiteY8" fmla="*/ 0 h 677858"/>
            <a:gd name="connsiteX0" fmla="*/ 0 w 1753986"/>
            <a:gd name="connsiteY0" fmla="*/ 0 h 677861"/>
            <a:gd name="connsiteX1" fmla="*/ 1753986 w 1753986"/>
            <a:gd name="connsiteY1" fmla="*/ 0 h 677861"/>
            <a:gd name="connsiteX2" fmla="*/ 1753986 w 1753986"/>
            <a:gd name="connsiteY2" fmla="*/ 565265 h 677861"/>
            <a:gd name="connsiteX3" fmla="*/ 1367374 w 1753986"/>
            <a:gd name="connsiteY3" fmla="*/ 654475 h 677861"/>
            <a:gd name="connsiteX4" fmla="*/ 797265 w 1753986"/>
            <a:gd name="connsiteY4" fmla="*/ 587043 h 677861"/>
            <a:gd name="connsiteX5" fmla="*/ 273032 w 1753986"/>
            <a:gd name="connsiteY5" fmla="*/ 677438 h 677861"/>
            <a:gd name="connsiteX6" fmla="*/ 16951 w 1753986"/>
            <a:gd name="connsiteY6" fmla="*/ 601111 h 677861"/>
            <a:gd name="connsiteX7" fmla="*/ 1582 w 1753986"/>
            <a:gd name="connsiteY7" fmla="*/ 565265 h 677861"/>
            <a:gd name="connsiteX8" fmla="*/ 0 w 1753986"/>
            <a:gd name="connsiteY8" fmla="*/ 0 h 677861"/>
            <a:gd name="connsiteX0" fmla="*/ 0 w 1753986"/>
            <a:gd name="connsiteY0" fmla="*/ 0 h 677863"/>
            <a:gd name="connsiteX1" fmla="*/ 1753986 w 1753986"/>
            <a:gd name="connsiteY1" fmla="*/ 0 h 677863"/>
            <a:gd name="connsiteX2" fmla="*/ 1753986 w 1753986"/>
            <a:gd name="connsiteY2" fmla="*/ 565265 h 677863"/>
            <a:gd name="connsiteX3" fmla="*/ 1355944 w 1753986"/>
            <a:gd name="connsiteY3" fmla="*/ 650665 h 677863"/>
            <a:gd name="connsiteX4" fmla="*/ 797265 w 1753986"/>
            <a:gd name="connsiteY4" fmla="*/ 587043 h 677863"/>
            <a:gd name="connsiteX5" fmla="*/ 273032 w 1753986"/>
            <a:gd name="connsiteY5" fmla="*/ 677438 h 677863"/>
            <a:gd name="connsiteX6" fmla="*/ 16951 w 1753986"/>
            <a:gd name="connsiteY6" fmla="*/ 601111 h 677863"/>
            <a:gd name="connsiteX7" fmla="*/ 1582 w 1753986"/>
            <a:gd name="connsiteY7" fmla="*/ 565265 h 677863"/>
            <a:gd name="connsiteX8" fmla="*/ 0 w 1753986"/>
            <a:gd name="connsiteY8" fmla="*/ 0 h 677863"/>
            <a:gd name="connsiteX0" fmla="*/ 0 w 1753986"/>
            <a:gd name="connsiteY0" fmla="*/ 0 h 677545"/>
            <a:gd name="connsiteX1" fmla="*/ 1753986 w 1753986"/>
            <a:gd name="connsiteY1" fmla="*/ 0 h 677545"/>
            <a:gd name="connsiteX2" fmla="*/ 1753986 w 1753986"/>
            <a:gd name="connsiteY2" fmla="*/ 565265 h 677545"/>
            <a:gd name="connsiteX3" fmla="*/ 1355944 w 1753986"/>
            <a:gd name="connsiteY3" fmla="*/ 650665 h 677545"/>
            <a:gd name="connsiteX4" fmla="*/ 797265 w 1753986"/>
            <a:gd name="connsiteY4" fmla="*/ 587043 h 677545"/>
            <a:gd name="connsiteX5" fmla="*/ 273032 w 1753986"/>
            <a:gd name="connsiteY5" fmla="*/ 677438 h 677545"/>
            <a:gd name="connsiteX6" fmla="*/ 1582 w 1753986"/>
            <a:gd name="connsiteY6" fmla="*/ 565265 h 677545"/>
            <a:gd name="connsiteX7" fmla="*/ 0 w 1753986"/>
            <a:gd name="connsiteY7" fmla="*/ 0 h 677545"/>
            <a:gd name="connsiteX0" fmla="*/ 0 w 1753986"/>
            <a:gd name="connsiteY0" fmla="*/ 0 h 669933"/>
            <a:gd name="connsiteX1" fmla="*/ 1753986 w 1753986"/>
            <a:gd name="connsiteY1" fmla="*/ 0 h 669933"/>
            <a:gd name="connsiteX2" fmla="*/ 1753986 w 1753986"/>
            <a:gd name="connsiteY2" fmla="*/ 565265 h 669933"/>
            <a:gd name="connsiteX3" fmla="*/ 1355944 w 1753986"/>
            <a:gd name="connsiteY3" fmla="*/ 650665 h 669933"/>
            <a:gd name="connsiteX4" fmla="*/ 797265 w 1753986"/>
            <a:gd name="connsiteY4" fmla="*/ 587043 h 669933"/>
            <a:gd name="connsiteX5" fmla="*/ 307322 w 1753986"/>
            <a:gd name="connsiteY5" fmla="*/ 669818 h 669933"/>
            <a:gd name="connsiteX6" fmla="*/ 1582 w 1753986"/>
            <a:gd name="connsiteY6" fmla="*/ 565265 h 669933"/>
            <a:gd name="connsiteX7" fmla="*/ 0 w 1753986"/>
            <a:gd name="connsiteY7" fmla="*/ 0 h 6699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53986" h="669933">
              <a:moveTo>
                <a:pt x="0" y="0"/>
              </a:moveTo>
              <a:lnTo>
                <a:pt x="1753986" y="0"/>
              </a:lnTo>
              <a:lnTo>
                <a:pt x="1753986" y="565265"/>
              </a:lnTo>
              <a:cubicBezTo>
                <a:pt x="1716221" y="667359"/>
                <a:pt x="1515398" y="647035"/>
                <a:pt x="1355944" y="650665"/>
              </a:cubicBezTo>
              <a:cubicBezTo>
                <a:pt x="1196491" y="654295"/>
                <a:pt x="972035" y="583851"/>
                <a:pt x="797265" y="587043"/>
              </a:cubicBezTo>
              <a:cubicBezTo>
                <a:pt x="622495" y="590235"/>
                <a:pt x="439936" y="673448"/>
                <a:pt x="307322" y="669818"/>
              </a:cubicBezTo>
              <a:cubicBezTo>
                <a:pt x="174708" y="666188"/>
                <a:pt x="47087" y="678171"/>
                <a:pt x="1582" y="565265"/>
              </a:cubicBezTo>
              <a:cubicBezTo>
                <a:pt x="1055" y="376843"/>
                <a:pt x="527" y="188422"/>
                <a:pt x="0" y="0"/>
              </a:cubicBezTo>
              <a:close/>
            </a:path>
          </a:pathLst>
        </a:custGeom>
        <a:solidFill>
          <a:srgbClr val="173A5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/>
            <a:t>Mina produktionsnyckeltal</a:t>
          </a:r>
        </a:p>
      </xdr:txBody>
    </xdr:sp>
    <xdr:clientData/>
  </xdr:twoCellAnchor>
  <xdr:twoCellAnchor>
    <xdr:from>
      <xdr:col>0</xdr:col>
      <xdr:colOff>600075</xdr:colOff>
      <xdr:row>3</xdr:row>
      <xdr:rowOff>38100</xdr:rowOff>
    </xdr:from>
    <xdr:to>
      <xdr:col>5</xdr:col>
      <xdr:colOff>0</xdr:colOff>
      <xdr:row>3</xdr:row>
      <xdr:rowOff>666750</xdr:rowOff>
    </xdr:to>
    <xdr:sp macro="" textlink="" fLocksText="0">
      <xdr:nvSpPr>
        <xdr:cNvPr id="4" name="textrut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0075" y="1219200"/>
          <a:ext cx="4991100" cy="628650"/>
        </a:xfrm>
        <a:prstGeom prst="rect">
          <a:avLst/>
        </a:prstGeom>
        <a:solidFill>
          <a:schemeClr val="lt1"/>
        </a:solidFill>
        <a:ln w="6350" cmpd="sng">
          <a:solidFill>
            <a:schemeClr val="accent1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de blå fälten med produktionsvärden hämtat från WinPig sugg för din egen besättning. </a:t>
          </a:r>
          <a:endParaRPr lang="sv-SE" sz="1000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6</xdr:col>
      <xdr:colOff>419100</xdr:colOff>
      <xdr:row>3</xdr:row>
      <xdr:rowOff>38100</xdr:rowOff>
    </xdr:from>
    <xdr:to>
      <xdr:col>11</xdr:col>
      <xdr:colOff>19050</xdr:colOff>
      <xdr:row>3</xdr:row>
      <xdr:rowOff>736023</xdr:rowOff>
    </xdr:to>
    <xdr:sp macro="" textlink="" fLocksText="0">
      <xdr:nvSpPr>
        <xdr:cNvPr id="5" name="textru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51418" y="1215736"/>
          <a:ext cx="5081155" cy="697923"/>
        </a:xfrm>
        <a:prstGeom prst="rect">
          <a:avLst/>
        </a:prstGeom>
        <a:solidFill>
          <a:schemeClr val="lt1"/>
        </a:solidFill>
        <a:ln w="6350" cmpd="sng">
          <a:solidFill>
            <a:schemeClr val="accent1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de blå fälten med produktionsvärden hämtat från WinPig sugg för din egen besättning. Foderkostnaden i kr per kg hämtas antingen från dina foderfakturor, eller från de foderrecept som din foderrådgivare gjort eller från din egen beräkning under fliken "Uträkning eget foder" (de turkosmarkerade rutorna)</a:t>
          </a:r>
          <a:endParaRPr lang="sv-SE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150811</xdr:colOff>
      <xdr:row>0</xdr:row>
      <xdr:rowOff>0</xdr:rowOff>
    </xdr:from>
    <xdr:to>
      <xdr:col>2</xdr:col>
      <xdr:colOff>543718</xdr:colOff>
      <xdr:row>1</xdr:row>
      <xdr:rowOff>247650</xdr:rowOff>
    </xdr:to>
    <xdr:sp macro="" textlink="">
      <xdr:nvSpPr>
        <xdr:cNvPr id="3" name="Frihandsfigu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388936" y="0"/>
          <a:ext cx="2297907" cy="628650"/>
        </a:xfrm>
        <a:custGeom>
          <a:avLst/>
          <a:gdLst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8314 w 1762300"/>
            <a:gd name="connsiteY11" fmla="*/ 561575 h 723479"/>
            <a:gd name="connsiteX12" fmla="*/ 0 w 1762300"/>
            <a:gd name="connsiteY12" fmla="*/ 542183 h 723479"/>
            <a:gd name="connsiteX13" fmla="*/ 8314 w 1762300"/>
            <a:gd name="connsiteY13" fmla="*/ 542194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0 w 1762300"/>
            <a:gd name="connsiteY11" fmla="*/ 542183 h 723479"/>
            <a:gd name="connsiteX12" fmla="*/ 8314 w 1762300"/>
            <a:gd name="connsiteY12" fmla="*/ 542194 h 723479"/>
            <a:gd name="connsiteX13" fmla="*/ 8314 w 1762300"/>
            <a:gd name="connsiteY13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542194 h 723479"/>
            <a:gd name="connsiteX12" fmla="*/ 8314 w 1762300"/>
            <a:gd name="connsiteY12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28940 w 1753986"/>
            <a:gd name="connsiteY3" fmla="*/ 565265 h 723479"/>
            <a:gd name="connsiteX4" fmla="*/ 1726842 w 1753986"/>
            <a:gd name="connsiteY4" fmla="*/ 567005 h 723479"/>
            <a:gd name="connsiteX5" fmla="*/ 1527394 w 1753986"/>
            <a:gd name="connsiteY5" fmla="*/ 612565 h 723479"/>
            <a:gd name="connsiteX6" fmla="*/ 797265 w 1753986"/>
            <a:gd name="connsiteY6" fmla="*/ 587043 h 723479"/>
            <a:gd name="connsiteX7" fmla="*/ 193022 w 1753986"/>
            <a:gd name="connsiteY7" fmla="*/ 723158 h 723479"/>
            <a:gd name="connsiteX8" fmla="*/ 16951 w 1753986"/>
            <a:gd name="connsiteY8" fmla="*/ 601111 h 723479"/>
            <a:gd name="connsiteX9" fmla="*/ 1582 w 1753986"/>
            <a:gd name="connsiteY9" fmla="*/ 565265 h 723479"/>
            <a:gd name="connsiteX10" fmla="*/ 0 w 1753986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28940 w 1768752"/>
            <a:gd name="connsiteY3" fmla="*/ 565265 h 723479"/>
            <a:gd name="connsiteX4" fmla="*/ 1768752 w 1768752"/>
            <a:gd name="connsiteY4" fmla="*/ 643205 h 723479"/>
            <a:gd name="connsiteX5" fmla="*/ 1527394 w 1768752"/>
            <a:gd name="connsiteY5" fmla="*/ 612565 h 723479"/>
            <a:gd name="connsiteX6" fmla="*/ 797265 w 1768752"/>
            <a:gd name="connsiteY6" fmla="*/ 587043 h 723479"/>
            <a:gd name="connsiteX7" fmla="*/ 193022 w 1768752"/>
            <a:gd name="connsiteY7" fmla="*/ 723158 h 723479"/>
            <a:gd name="connsiteX8" fmla="*/ 16951 w 1768752"/>
            <a:gd name="connsiteY8" fmla="*/ 601111 h 723479"/>
            <a:gd name="connsiteX9" fmla="*/ 1582 w 1768752"/>
            <a:gd name="connsiteY9" fmla="*/ 565265 h 723479"/>
            <a:gd name="connsiteX10" fmla="*/ 0 w 1768752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68752 w 1768752"/>
            <a:gd name="connsiteY3" fmla="*/ 643205 h 723479"/>
            <a:gd name="connsiteX4" fmla="*/ 1527394 w 1768752"/>
            <a:gd name="connsiteY4" fmla="*/ 612565 h 723479"/>
            <a:gd name="connsiteX5" fmla="*/ 797265 w 1768752"/>
            <a:gd name="connsiteY5" fmla="*/ 587043 h 723479"/>
            <a:gd name="connsiteX6" fmla="*/ 193022 w 1768752"/>
            <a:gd name="connsiteY6" fmla="*/ 723158 h 723479"/>
            <a:gd name="connsiteX7" fmla="*/ 16951 w 1768752"/>
            <a:gd name="connsiteY7" fmla="*/ 601111 h 723479"/>
            <a:gd name="connsiteX8" fmla="*/ 1582 w 1768752"/>
            <a:gd name="connsiteY8" fmla="*/ 565265 h 723479"/>
            <a:gd name="connsiteX9" fmla="*/ 0 w 1768752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15412 w 1753986"/>
            <a:gd name="connsiteY3" fmla="*/ 61653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527394 w 1753986"/>
            <a:gd name="connsiteY3" fmla="*/ 612565 h 723479"/>
            <a:gd name="connsiteX4" fmla="*/ 797265 w 1753986"/>
            <a:gd name="connsiteY4" fmla="*/ 587043 h 723479"/>
            <a:gd name="connsiteX5" fmla="*/ 193022 w 1753986"/>
            <a:gd name="connsiteY5" fmla="*/ 723158 h 723479"/>
            <a:gd name="connsiteX6" fmla="*/ 16951 w 1753986"/>
            <a:gd name="connsiteY6" fmla="*/ 601111 h 723479"/>
            <a:gd name="connsiteX7" fmla="*/ 1582 w 1753986"/>
            <a:gd name="connsiteY7" fmla="*/ 565265 h 723479"/>
            <a:gd name="connsiteX8" fmla="*/ 0 w 1753986"/>
            <a:gd name="connsiteY8" fmla="*/ 0 h 723479"/>
            <a:gd name="connsiteX0" fmla="*/ 0 w 1753986"/>
            <a:gd name="connsiteY0" fmla="*/ 0 h 677892"/>
            <a:gd name="connsiteX1" fmla="*/ 1753986 w 1753986"/>
            <a:gd name="connsiteY1" fmla="*/ 0 h 677892"/>
            <a:gd name="connsiteX2" fmla="*/ 1753986 w 1753986"/>
            <a:gd name="connsiteY2" fmla="*/ 565265 h 677892"/>
            <a:gd name="connsiteX3" fmla="*/ 1527394 w 1753986"/>
            <a:gd name="connsiteY3" fmla="*/ 612565 h 677892"/>
            <a:gd name="connsiteX4" fmla="*/ 797265 w 1753986"/>
            <a:gd name="connsiteY4" fmla="*/ 587043 h 677892"/>
            <a:gd name="connsiteX5" fmla="*/ 273032 w 1753986"/>
            <a:gd name="connsiteY5" fmla="*/ 677438 h 677892"/>
            <a:gd name="connsiteX6" fmla="*/ 16951 w 1753986"/>
            <a:gd name="connsiteY6" fmla="*/ 601111 h 677892"/>
            <a:gd name="connsiteX7" fmla="*/ 1582 w 1753986"/>
            <a:gd name="connsiteY7" fmla="*/ 565265 h 677892"/>
            <a:gd name="connsiteX8" fmla="*/ 0 w 1753986"/>
            <a:gd name="connsiteY8" fmla="*/ 0 h 677892"/>
            <a:gd name="connsiteX0" fmla="*/ 0 w 1753986"/>
            <a:gd name="connsiteY0" fmla="*/ 0 h 696473"/>
            <a:gd name="connsiteX1" fmla="*/ 1753986 w 1753986"/>
            <a:gd name="connsiteY1" fmla="*/ 0 h 696473"/>
            <a:gd name="connsiteX2" fmla="*/ 1753986 w 1753986"/>
            <a:gd name="connsiteY2" fmla="*/ 565265 h 696473"/>
            <a:gd name="connsiteX3" fmla="*/ 1527394 w 1753986"/>
            <a:gd name="connsiteY3" fmla="*/ 696385 h 696473"/>
            <a:gd name="connsiteX4" fmla="*/ 797265 w 1753986"/>
            <a:gd name="connsiteY4" fmla="*/ 587043 h 696473"/>
            <a:gd name="connsiteX5" fmla="*/ 273032 w 1753986"/>
            <a:gd name="connsiteY5" fmla="*/ 677438 h 696473"/>
            <a:gd name="connsiteX6" fmla="*/ 16951 w 1753986"/>
            <a:gd name="connsiteY6" fmla="*/ 601111 h 696473"/>
            <a:gd name="connsiteX7" fmla="*/ 1582 w 1753986"/>
            <a:gd name="connsiteY7" fmla="*/ 565265 h 696473"/>
            <a:gd name="connsiteX8" fmla="*/ 0 w 1753986"/>
            <a:gd name="connsiteY8" fmla="*/ 0 h 696473"/>
            <a:gd name="connsiteX0" fmla="*/ 0 w 1753986"/>
            <a:gd name="connsiteY0" fmla="*/ 0 h 677850"/>
            <a:gd name="connsiteX1" fmla="*/ 1753986 w 1753986"/>
            <a:gd name="connsiteY1" fmla="*/ 0 h 677850"/>
            <a:gd name="connsiteX2" fmla="*/ 1753986 w 1753986"/>
            <a:gd name="connsiteY2" fmla="*/ 565265 h 677850"/>
            <a:gd name="connsiteX3" fmla="*/ 1527394 w 1753986"/>
            <a:gd name="connsiteY3" fmla="*/ 669715 h 677850"/>
            <a:gd name="connsiteX4" fmla="*/ 797265 w 1753986"/>
            <a:gd name="connsiteY4" fmla="*/ 587043 h 677850"/>
            <a:gd name="connsiteX5" fmla="*/ 273032 w 1753986"/>
            <a:gd name="connsiteY5" fmla="*/ 677438 h 677850"/>
            <a:gd name="connsiteX6" fmla="*/ 16951 w 1753986"/>
            <a:gd name="connsiteY6" fmla="*/ 601111 h 677850"/>
            <a:gd name="connsiteX7" fmla="*/ 1582 w 1753986"/>
            <a:gd name="connsiteY7" fmla="*/ 565265 h 677850"/>
            <a:gd name="connsiteX8" fmla="*/ 0 w 1753986"/>
            <a:gd name="connsiteY8" fmla="*/ 0 h 677850"/>
            <a:gd name="connsiteX0" fmla="*/ 0 w 1753986"/>
            <a:gd name="connsiteY0" fmla="*/ 0 h 677858"/>
            <a:gd name="connsiteX1" fmla="*/ 1753986 w 1753986"/>
            <a:gd name="connsiteY1" fmla="*/ 0 h 677858"/>
            <a:gd name="connsiteX2" fmla="*/ 1753986 w 1753986"/>
            <a:gd name="connsiteY2" fmla="*/ 565265 h 677858"/>
            <a:gd name="connsiteX3" fmla="*/ 1405474 w 1753986"/>
            <a:gd name="connsiteY3" fmla="*/ 658285 h 677858"/>
            <a:gd name="connsiteX4" fmla="*/ 797265 w 1753986"/>
            <a:gd name="connsiteY4" fmla="*/ 587043 h 677858"/>
            <a:gd name="connsiteX5" fmla="*/ 273032 w 1753986"/>
            <a:gd name="connsiteY5" fmla="*/ 677438 h 677858"/>
            <a:gd name="connsiteX6" fmla="*/ 16951 w 1753986"/>
            <a:gd name="connsiteY6" fmla="*/ 601111 h 677858"/>
            <a:gd name="connsiteX7" fmla="*/ 1582 w 1753986"/>
            <a:gd name="connsiteY7" fmla="*/ 565265 h 677858"/>
            <a:gd name="connsiteX8" fmla="*/ 0 w 1753986"/>
            <a:gd name="connsiteY8" fmla="*/ 0 h 677858"/>
            <a:gd name="connsiteX0" fmla="*/ 0 w 1753986"/>
            <a:gd name="connsiteY0" fmla="*/ 0 h 677861"/>
            <a:gd name="connsiteX1" fmla="*/ 1753986 w 1753986"/>
            <a:gd name="connsiteY1" fmla="*/ 0 h 677861"/>
            <a:gd name="connsiteX2" fmla="*/ 1753986 w 1753986"/>
            <a:gd name="connsiteY2" fmla="*/ 565265 h 677861"/>
            <a:gd name="connsiteX3" fmla="*/ 1367374 w 1753986"/>
            <a:gd name="connsiteY3" fmla="*/ 654475 h 677861"/>
            <a:gd name="connsiteX4" fmla="*/ 797265 w 1753986"/>
            <a:gd name="connsiteY4" fmla="*/ 587043 h 677861"/>
            <a:gd name="connsiteX5" fmla="*/ 273032 w 1753986"/>
            <a:gd name="connsiteY5" fmla="*/ 677438 h 677861"/>
            <a:gd name="connsiteX6" fmla="*/ 16951 w 1753986"/>
            <a:gd name="connsiteY6" fmla="*/ 601111 h 677861"/>
            <a:gd name="connsiteX7" fmla="*/ 1582 w 1753986"/>
            <a:gd name="connsiteY7" fmla="*/ 565265 h 677861"/>
            <a:gd name="connsiteX8" fmla="*/ 0 w 1753986"/>
            <a:gd name="connsiteY8" fmla="*/ 0 h 677861"/>
            <a:gd name="connsiteX0" fmla="*/ 0 w 1753986"/>
            <a:gd name="connsiteY0" fmla="*/ 0 h 677863"/>
            <a:gd name="connsiteX1" fmla="*/ 1753986 w 1753986"/>
            <a:gd name="connsiteY1" fmla="*/ 0 h 677863"/>
            <a:gd name="connsiteX2" fmla="*/ 1753986 w 1753986"/>
            <a:gd name="connsiteY2" fmla="*/ 565265 h 677863"/>
            <a:gd name="connsiteX3" fmla="*/ 1355944 w 1753986"/>
            <a:gd name="connsiteY3" fmla="*/ 650665 h 677863"/>
            <a:gd name="connsiteX4" fmla="*/ 797265 w 1753986"/>
            <a:gd name="connsiteY4" fmla="*/ 587043 h 677863"/>
            <a:gd name="connsiteX5" fmla="*/ 273032 w 1753986"/>
            <a:gd name="connsiteY5" fmla="*/ 677438 h 677863"/>
            <a:gd name="connsiteX6" fmla="*/ 16951 w 1753986"/>
            <a:gd name="connsiteY6" fmla="*/ 601111 h 677863"/>
            <a:gd name="connsiteX7" fmla="*/ 1582 w 1753986"/>
            <a:gd name="connsiteY7" fmla="*/ 565265 h 677863"/>
            <a:gd name="connsiteX8" fmla="*/ 0 w 1753986"/>
            <a:gd name="connsiteY8" fmla="*/ 0 h 677863"/>
            <a:gd name="connsiteX0" fmla="*/ 0 w 1753986"/>
            <a:gd name="connsiteY0" fmla="*/ 0 h 677545"/>
            <a:gd name="connsiteX1" fmla="*/ 1753986 w 1753986"/>
            <a:gd name="connsiteY1" fmla="*/ 0 h 677545"/>
            <a:gd name="connsiteX2" fmla="*/ 1753986 w 1753986"/>
            <a:gd name="connsiteY2" fmla="*/ 565265 h 677545"/>
            <a:gd name="connsiteX3" fmla="*/ 1355944 w 1753986"/>
            <a:gd name="connsiteY3" fmla="*/ 650665 h 677545"/>
            <a:gd name="connsiteX4" fmla="*/ 797265 w 1753986"/>
            <a:gd name="connsiteY4" fmla="*/ 587043 h 677545"/>
            <a:gd name="connsiteX5" fmla="*/ 273032 w 1753986"/>
            <a:gd name="connsiteY5" fmla="*/ 677438 h 677545"/>
            <a:gd name="connsiteX6" fmla="*/ 1582 w 1753986"/>
            <a:gd name="connsiteY6" fmla="*/ 565265 h 677545"/>
            <a:gd name="connsiteX7" fmla="*/ 0 w 1753986"/>
            <a:gd name="connsiteY7" fmla="*/ 0 h 677545"/>
            <a:gd name="connsiteX0" fmla="*/ 0 w 1753986"/>
            <a:gd name="connsiteY0" fmla="*/ 0 h 669933"/>
            <a:gd name="connsiteX1" fmla="*/ 1753986 w 1753986"/>
            <a:gd name="connsiteY1" fmla="*/ 0 h 669933"/>
            <a:gd name="connsiteX2" fmla="*/ 1753986 w 1753986"/>
            <a:gd name="connsiteY2" fmla="*/ 565265 h 669933"/>
            <a:gd name="connsiteX3" fmla="*/ 1355944 w 1753986"/>
            <a:gd name="connsiteY3" fmla="*/ 650665 h 669933"/>
            <a:gd name="connsiteX4" fmla="*/ 797265 w 1753986"/>
            <a:gd name="connsiteY4" fmla="*/ 587043 h 669933"/>
            <a:gd name="connsiteX5" fmla="*/ 307322 w 1753986"/>
            <a:gd name="connsiteY5" fmla="*/ 669818 h 669933"/>
            <a:gd name="connsiteX6" fmla="*/ 1582 w 1753986"/>
            <a:gd name="connsiteY6" fmla="*/ 565265 h 669933"/>
            <a:gd name="connsiteX7" fmla="*/ 0 w 1753986"/>
            <a:gd name="connsiteY7" fmla="*/ 0 h 6699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53986" h="669933">
              <a:moveTo>
                <a:pt x="0" y="0"/>
              </a:moveTo>
              <a:lnTo>
                <a:pt x="1753986" y="0"/>
              </a:lnTo>
              <a:lnTo>
                <a:pt x="1753986" y="565265"/>
              </a:lnTo>
              <a:cubicBezTo>
                <a:pt x="1716221" y="667359"/>
                <a:pt x="1515398" y="647035"/>
                <a:pt x="1355944" y="650665"/>
              </a:cubicBezTo>
              <a:cubicBezTo>
                <a:pt x="1196491" y="654295"/>
                <a:pt x="972035" y="583851"/>
                <a:pt x="797265" y="587043"/>
              </a:cubicBezTo>
              <a:cubicBezTo>
                <a:pt x="622495" y="590235"/>
                <a:pt x="439936" y="673448"/>
                <a:pt x="307322" y="669818"/>
              </a:cubicBezTo>
              <a:cubicBezTo>
                <a:pt x="174708" y="666188"/>
                <a:pt x="47087" y="678171"/>
                <a:pt x="1582" y="565265"/>
              </a:cubicBezTo>
              <a:cubicBezTo>
                <a:pt x="1055" y="376843"/>
                <a:pt x="527" y="188422"/>
                <a:pt x="0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/>
            <a:t>Uträkning eget foder</a:t>
          </a:r>
        </a:p>
      </xdr:txBody>
    </xdr:sp>
    <xdr:clientData/>
  </xdr:twoCellAnchor>
  <xdr:twoCellAnchor>
    <xdr:from>
      <xdr:col>5</xdr:col>
      <xdr:colOff>0</xdr:colOff>
      <xdr:row>3</xdr:row>
      <xdr:rowOff>57150</xdr:rowOff>
    </xdr:from>
    <xdr:to>
      <xdr:col>23</xdr:col>
      <xdr:colOff>742950</xdr:colOff>
      <xdr:row>3</xdr:row>
      <xdr:rowOff>685800</xdr:rowOff>
    </xdr:to>
    <xdr:sp macro="" textlink="" fLocksText="0">
      <xdr:nvSpPr>
        <xdr:cNvPr id="4" name="textrut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14875" y="1190625"/>
          <a:ext cx="17945100" cy="628650"/>
        </a:xfrm>
        <a:prstGeom prst="rect">
          <a:avLst/>
        </a:prstGeom>
        <a:solidFill>
          <a:schemeClr val="bg1"/>
        </a:solidFill>
        <a:ln w="6350" cmpd="sng">
          <a:solidFill>
            <a:schemeClr val="accent1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(endast som hjälpmedel för att räkna ut foderkostnaden per kg foder).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Observera att inga kostnader för arbete eller lagring finns med här. Om kostnader för arbetstid finns lägg till dem under fliken "Mitt ekonomiska underlag" under rubriken "Arbete".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framräknade foderkostnaden (i de turkosmarkerade rutorna) fylls i under fliken "Mina produktionsnyckeltal" i fälten under foderrubrikerna.</a:t>
          </a:r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0</xdr:rowOff>
    </xdr:from>
    <xdr:to>
      <xdr:col>2</xdr:col>
      <xdr:colOff>336549</xdr:colOff>
      <xdr:row>1</xdr:row>
      <xdr:rowOff>391582</xdr:rowOff>
    </xdr:to>
    <xdr:sp macro="" textlink="">
      <xdr:nvSpPr>
        <xdr:cNvPr id="2" name="Frihandsfigu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H="1">
          <a:off x="306916" y="0"/>
          <a:ext cx="2590800" cy="772582"/>
        </a:xfrm>
        <a:custGeom>
          <a:avLst/>
          <a:gdLst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8314 w 1762300"/>
            <a:gd name="connsiteY11" fmla="*/ 561575 h 723479"/>
            <a:gd name="connsiteX12" fmla="*/ 0 w 1762300"/>
            <a:gd name="connsiteY12" fmla="*/ 542183 h 723479"/>
            <a:gd name="connsiteX13" fmla="*/ 8314 w 1762300"/>
            <a:gd name="connsiteY13" fmla="*/ 542194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0 w 1762300"/>
            <a:gd name="connsiteY11" fmla="*/ 542183 h 723479"/>
            <a:gd name="connsiteX12" fmla="*/ 8314 w 1762300"/>
            <a:gd name="connsiteY12" fmla="*/ 542194 h 723479"/>
            <a:gd name="connsiteX13" fmla="*/ 8314 w 1762300"/>
            <a:gd name="connsiteY13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542194 h 723479"/>
            <a:gd name="connsiteX12" fmla="*/ 8314 w 1762300"/>
            <a:gd name="connsiteY12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28940 w 1753986"/>
            <a:gd name="connsiteY3" fmla="*/ 565265 h 723479"/>
            <a:gd name="connsiteX4" fmla="*/ 1726842 w 1753986"/>
            <a:gd name="connsiteY4" fmla="*/ 567005 h 723479"/>
            <a:gd name="connsiteX5" fmla="*/ 1527394 w 1753986"/>
            <a:gd name="connsiteY5" fmla="*/ 612565 h 723479"/>
            <a:gd name="connsiteX6" fmla="*/ 797265 w 1753986"/>
            <a:gd name="connsiteY6" fmla="*/ 587043 h 723479"/>
            <a:gd name="connsiteX7" fmla="*/ 193022 w 1753986"/>
            <a:gd name="connsiteY7" fmla="*/ 723158 h 723479"/>
            <a:gd name="connsiteX8" fmla="*/ 16951 w 1753986"/>
            <a:gd name="connsiteY8" fmla="*/ 601111 h 723479"/>
            <a:gd name="connsiteX9" fmla="*/ 1582 w 1753986"/>
            <a:gd name="connsiteY9" fmla="*/ 565265 h 723479"/>
            <a:gd name="connsiteX10" fmla="*/ 0 w 1753986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28940 w 1768752"/>
            <a:gd name="connsiteY3" fmla="*/ 565265 h 723479"/>
            <a:gd name="connsiteX4" fmla="*/ 1768752 w 1768752"/>
            <a:gd name="connsiteY4" fmla="*/ 643205 h 723479"/>
            <a:gd name="connsiteX5" fmla="*/ 1527394 w 1768752"/>
            <a:gd name="connsiteY5" fmla="*/ 612565 h 723479"/>
            <a:gd name="connsiteX6" fmla="*/ 797265 w 1768752"/>
            <a:gd name="connsiteY6" fmla="*/ 587043 h 723479"/>
            <a:gd name="connsiteX7" fmla="*/ 193022 w 1768752"/>
            <a:gd name="connsiteY7" fmla="*/ 723158 h 723479"/>
            <a:gd name="connsiteX8" fmla="*/ 16951 w 1768752"/>
            <a:gd name="connsiteY8" fmla="*/ 601111 h 723479"/>
            <a:gd name="connsiteX9" fmla="*/ 1582 w 1768752"/>
            <a:gd name="connsiteY9" fmla="*/ 565265 h 723479"/>
            <a:gd name="connsiteX10" fmla="*/ 0 w 1768752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68752 w 1768752"/>
            <a:gd name="connsiteY3" fmla="*/ 643205 h 723479"/>
            <a:gd name="connsiteX4" fmla="*/ 1527394 w 1768752"/>
            <a:gd name="connsiteY4" fmla="*/ 612565 h 723479"/>
            <a:gd name="connsiteX5" fmla="*/ 797265 w 1768752"/>
            <a:gd name="connsiteY5" fmla="*/ 587043 h 723479"/>
            <a:gd name="connsiteX6" fmla="*/ 193022 w 1768752"/>
            <a:gd name="connsiteY6" fmla="*/ 723158 h 723479"/>
            <a:gd name="connsiteX7" fmla="*/ 16951 w 1768752"/>
            <a:gd name="connsiteY7" fmla="*/ 601111 h 723479"/>
            <a:gd name="connsiteX8" fmla="*/ 1582 w 1768752"/>
            <a:gd name="connsiteY8" fmla="*/ 565265 h 723479"/>
            <a:gd name="connsiteX9" fmla="*/ 0 w 1768752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15412 w 1753986"/>
            <a:gd name="connsiteY3" fmla="*/ 61653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527394 w 1753986"/>
            <a:gd name="connsiteY3" fmla="*/ 612565 h 723479"/>
            <a:gd name="connsiteX4" fmla="*/ 797265 w 1753986"/>
            <a:gd name="connsiteY4" fmla="*/ 587043 h 723479"/>
            <a:gd name="connsiteX5" fmla="*/ 193022 w 1753986"/>
            <a:gd name="connsiteY5" fmla="*/ 723158 h 723479"/>
            <a:gd name="connsiteX6" fmla="*/ 16951 w 1753986"/>
            <a:gd name="connsiteY6" fmla="*/ 601111 h 723479"/>
            <a:gd name="connsiteX7" fmla="*/ 1582 w 1753986"/>
            <a:gd name="connsiteY7" fmla="*/ 565265 h 723479"/>
            <a:gd name="connsiteX8" fmla="*/ 0 w 1753986"/>
            <a:gd name="connsiteY8" fmla="*/ 0 h 723479"/>
            <a:gd name="connsiteX0" fmla="*/ 0 w 1753986"/>
            <a:gd name="connsiteY0" fmla="*/ 0 h 677892"/>
            <a:gd name="connsiteX1" fmla="*/ 1753986 w 1753986"/>
            <a:gd name="connsiteY1" fmla="*/ 0 h 677892"/>
            <a:gd name="connsiteX2" fmla="*/ 1753986 w 1753986"/>
            <a:gd name="connsiteY2" fmla="*/ 565265 h 677892"/>
            <a:gd name="connsiteX3" fmla="*/ 1527394 w 1753986"/>
            <a:gd name="connsiteY3" fmla="*/ 612565 h 677892"/>
            <a:gd name="connsiteX4" fmla="*/ 797265 w 1753986"/>
            <a:gd name="connsiteY4" fmla="*/ 587043 h 677892"/>
            <a:gd name="connsiteX5" fmla="*/ 273032 w 1753986"/>
            <a:gd name="connsiteY5" fmla="*/ 677438 h 677892"/>
            <a:gd name="connsiteX6" fmla="*/ 16951 w 1753986"/>
            <a:gd name="connsiteY6" fmla="*/ 601111 h 677892"/>
            <a:gd name="connsiteX7" fmla="*/ 1582 w 1753986"/>
            <a:gd name="connsiteY7" fmla="*/ 565265 h 677892"/>
            <a:gd name="connsiteX8" fmla="*/ 0 w 1753986"/>
            <a:gd name="connsiteY8" fmla="*/ 0 h 677892"/>
            <a:gd name="connsiteX0" fmla="*/ 0 w 1753986"/>
            <a:gd name="connsiteY0" fmla="*/ 0 h 696473"/>
            <a:gd name="connsiteX1" fmla="*/ 1753986 w 1753986"/>
            <a:gd name="connsiteY1" fmla="*/ 0 h 696473"/>
            <a:gd name="connsiteX2" fmla="*/ 1753986 w 1753986"/>
            <a:gd name="connsiteY2" fmla="*/ 565265 h 696473"/>
            <a:gd name="connsiteX3" fmla="*/ 1527394 w 1753986"/>
            <a:gd name="connsiteY3" fmla="*/ 696385 h 696473"/>
            <a:gd name="connsiteX4" fmla="*/ 797265 w 1753986"/>
            <a:gd name="connsiteY4" fmla="*/ 587043 h 696473"/>
            <a:gd name="connsiteX5" fmla="*/ 273032 w 1753986"/>
            <a:gd name="connsiteY5" fmla="*/ 677438 h 696473"/>
            <a:gd name="connsiteX6" fmla="*/ 16951 w 1753986"/>
            <a:gd name="connsiteY6" fmla="*/ 601111 h 696473"/>
            <a:gd name="connsiteX7" fmla="*/ 1582 w 1753986"/>
            <a:gd name="connsiteY7" fmla="*/ 565265 h 696473"/>
            <a:gd name="connsiteX8" fmla="*/ 0 w 1753986"/>
            <a:gd name="connsiteY8" fmla="*/ 0 h 696473"/>
            <a:gd name="connsiteX0" fmla="*/ 0 w 1753986"/>
            <a:gd name="connsiteY0" fmla="*/ 0 h 677850"/>
            <a:gd name="connsiteX1" fmla="*/ 1753986 w 1753986"/>
            <a:gd name="connsiteY1" fmla="*/ 0 h 677850"/>
            <a:gd name="connsiteX2" fmla="*/ 1753986 w 1753986"/>
            <a:gd name="connsiteY2" fmla="*/ 565265 h 677850"/>
            <a:gd name="connsiteX3" fmla="*/ 1527394 w 1753986"/>
            <a:gd name="connsiteY3" fmla="*/ 669715 h 677850"/>
            <a:gd name="connsiteX4" fmla="*/ 797265 w 1753986"/>
            <a:gd name="connsiteY4" fmla="*/ 587043 h 677850"/>
            <a:gd name="connsiteX5" fmla="*/ 273032 w 1753986"/>
            <a:gd name="connsiteY5" fmla="*/ 677438 h 677850"/>
            <a:gd name="connsiteX6" fmla="*/ 16951 w 1753986"/>
            <a:gd name="connsiteY6" fmla="*/ 601111 h 677850"/>
            <a:gd name="connsiteX7" fmla="*/ 1582 w 1753986"/>
            <a:gd name="connsiteY7" fmla="*/ 565265 h 677850"/>
            <a:gd name="connsiteX8" fmla="*/ 0 w 1753986"/>
            <a:gd name="connsiteY8" fmla="*/ 0 h 677850"/>
            <a:gd name="connsiteX0" fmla="*/ 0 w 1753986"/>
            <a:gd name="connsiteY0" fmla="*/ 0 h 677858"/>
            <a:gd name="connsiteX1" fmla="*/ 1753986 w 1753986"/>
            <a:gd name="connsiteY1" fmla="*/ 0 h 677858"/>
            <a:gd name="connsiteX2" fmla="*/ 1753986 w 1753986"/>
            <a:gd name="connsiteY2" fmla="*/ 565265 h 677858"/>
            <a:gd name="connsiteX3" fmla="*/ 1405474 w 1753986"/>
            <a:gd name="connsiteY3" fmla="*/ 658285 h 677858"/>
            <a:gd name="connsiteX4" fmla="*/ 797265 w 1753986"/>
            <a:gd name="connsiteY4" fmla="*/ 587043 h 677858"/>
            <a:gd name="connsiteX5" fmla="*/ 273032 w 1753986"/>
            <a:gd name="connsiteY5" fmla="*/ 677438 h 677858"/>
            <a:gd name="connsiteX6" fmla="*/ 16951 w 1753986"/>
            <a:gd name="connsiteY6" fmla="*/ 601111 h 677858"/>
            <a:gd name="connsiteX7" fmla="*/ 1582 w 1753986"/>
            <a:gd name="connsiteY7" fmla="*/ 565265 h 677858"/>
            <a:gd name="connsiteX8" fmla="*/ 0 w 1753986"/>
            <a:gd name="connsiteY8" fmla="*/ 0 h 677858"/>
            <a:gd name="connsiteX0" fmla="*/ 0 w 1753986"/>
            <a:gd name="connsiteY0" fmla="*/ 0 h 677861"/>
            <a:gd name="connsiteX1" fmla="*/ 1753986 w 1753986"/>
            <a:gd name="connsiteY1" fmla="*/ 0 h 677861"/>
            <a:gd name="connsiteX2" fmla="*/ 1753986 w 1753986"/>
            <a:gd name="connsiteY2" fmla="*/ 565265 h 677861"/>
            <a:gd name="connsiteX3" fmla="*/ 1367374 w 1753986"/>
            <a:gd name="connsiteY3" fmla="*/ 654475 h 677861"/>
            <a:gd name="connsiteX4" fmla="*/ 797265 w 1753986"/>
            <a:gd name="connsiteY4" fmla="*/ 587043 h 677861"/>
            <a:gd name="connsiteX5" fmla="*/ 273032 w 1753986"/>
            <a:gd name="connsiteY5" fmla="*/ 677438 h 677861"/>
            <a:gd name="connsiteX6" fmla="*/ 16951 w 1753986"/>
            <a:gd name="connsiteY6" fmla="*/ 601111 h 677861"/>
            <a:gd name="connsiteX7" fmla="*/ 1582 w 1753986"/>
            <a:gd name="connsiteY7" fmla="*/ 565265 h 677861"/>
            <a:gd name="connsiteX8" fmla="*/ 0 w 1753986"/>
            <a:gd name="connsiteY8" fmla="*/ 0 h 677861"/>
            <a:gd name="connsiteX0" fmla="*/ 0 w 1753986"/>
            <a:gd name="connsiteY0" fmla="*/ 0 h 677863"/>
            <a:gd name="connsiteX1" fmla="*/ 1753986 w 1753986"/>
            <a:gd name="connsiteY1" fmla="*/ 0 h 677863"/>
            <a:gd name="connsiteX2" fmla="*/ 1753986 w 1753986"/>
            <a:gd name="connsiteY2" fmla="*/ 565265 h 677863"/>
            <a:gd name="connsiteX3" fmla="*/ 1355944 w 1753986"/>
            <a:gd name="connsiteY3" fmla="*/ 650665 h 677863"/>
            <a:gd name="connsiteX4" fmla="*/ 797265 w 1753986"/>
            <a:gd name="connsiteY4" fmla="*/ 587043 h 677863"/>
            <a:gd name="connsiteX5" fmla="*/ 273032 w 1753986"/>
            <a:gd name="connsiteY5" fmla="*/ 677438 h 677863"/>
            <a:gd name="connsiteX6" fmla="*/ 16951 w 1753986"/>
            <a:gd name="connsiteY6" fmla="*/ 601111 h 677863"/>
            <a:gd name="connsiteX7" fmla="*/ 1582 w 1753986"/>
            <a:gd name="connsiteY7" fmla="*/ 565265 h 677863"/>
            <a:gd name="connsiteX8" fmla="*/ 0 w 1753986"/>
            <a:gd name="connsiteY8" fmla="*/ 0 h 677863"/>
            <a:gd name="connsiteX0" fmla="*/ 0 w 1753986"/>
            <a:gd name="connsiteY0" fmla="*/ 0 h 677545"/>
            <a:gd name="connsiteX1" fmla="*/ 1753986 w 1753986"/>
            <a:gd name="connsiteY1" fmla="*/ 0 h 677545"/>
            <a:gd name="connsiteX2" fmla="*/ 1753986 w 1753986"/>
            <a:gd name="connsiteY2" fmla="*/ 565265 h 677545"/>
            <a:gd name="connsiteX3" fmla="*/ 1355944 w 1753986"/>
            <a:gd name="connsiteY3" fmla="*/ 650665 h 677545"/>
            <a:gd name="connsiteX4" fmla="*/ 797265 w 1753986"/>
            <a:gd name="connsiteY4" fmla="*/ 587043 h 677545"/>
            <a:gd name="connsiteX5" fmla="*/ 273032 w 1753986"/>
            <a:gd name="connsiteY5" fmla="*/ 677438 h 677545"/>
            <a:gd name="connsiteX6" fmla="*/ 1582 w 1753986"/>
            <a:gd name="connsiteY6" fmla="*/ 565265 h 677545"/>
            <a:gd name="connsiteX7" fmla="*/ 0 w 1753986"/>
            <a:gd name="connsiteY7" fmla="*/ 0 h 677545"/>
            <a:gd name="connsiteX0" fmla="*/ 0 w 1753986"/>
            <a:gd name="connsiteY0" fmla="*/ 0 h 669933"/>
            <a:gd name="connsiteX1" fmla="*/ 1753986 w 1753986"/>
            <a:gd name="connsiteY1" fmla="*/ 0 h 669933"/>
            <a:gd name="connsiteX2" fmla="*/ 1753986 w 1753986"/>
            <a:gd name="connsiteY2" fmla="*/ 565265 h 669933"/>
            <a:gd name="connsiteX3" fmla="*/ 1355944 w 1753986"/>
            <a:gd name="connsiteY3" fmla="*/ 650665 h 669933"/>
            <a:gd name="connsiteX4" fmla="*/ 797265 w 1753986"/>
            <a:gd name="connsiteY4" fmla="*/ 587043 h 669933"/>
            <a:gd name="connsiteX5" fmla="*/ 307322 w 1753986"/>
            <a:gd name="connsiteY5" fmla="*/ 669818 h 669933"/>
            <a:gd name="connsiteX6" fmla="*/ 1582 w 1753986"/>
            <a:gd name="connsiteY6" fmla="*/ 565265 h 669933"/>
            <a:gd name="connsiteX7" fmla="*/ 0 w 1753986"/>
            <a:gd name="connsiteY7" fmla="*/ 0 h 6699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53986" h="669933">
              <a:moveTo>
                <a:pt x="0" y="0"/>
              </a:moveTo>
              <a:lnTo>
                <a:pt x="1753986" y="0"/>
              </a:lnTo>
              <a:lnTo>
                <a:pt x="1753986" y="565265"/>
              </a:lnTo>
              <a:cubicBezTo>
                <a:pt x="1716221" y="667359"/>
                <a:pt x="1515398" y="647035"/>
                <a:pt x="1355944" y="650665"/>
              </a:cubicBezTo>
              <a:cubicBezTo>
                <a:pt x="1196491" y="654295"/>
                <a:pt x="972035" y="583851"/>
                <a:pt x="797265" y="587043"/>
              </a:cubicBezTo>
              <a:cubicBezTo>
                <a:pt x="622495" y="590235"/>
                <a:pt x="439936" y="673448"/>
                <a:pt x="307322" y="669818"/>
              </a:cubicBezTo>
              <a:cubicBezTo>
                <a:pt x="174708" y="666188"/>
                <a:pt x="47087" y="678171"/>
                <a:pt x="1582" y="565265"/>
              </a:cubicBezTo>
              <a:cubicBezTo>
                <a:pt x="1055" y="376843"/>
                <a:pt x="527" y="188422"/>
                <a:pt x="0" y="0"/>
              </a:cubicBezTo>
              <a:close/>
            </a:path>
          </a:pathLst>
        </a:custGeom>
        <a:solidFill>
          <a:srgbClr val="173A5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/>
            <a:t>Mitt ekonomiska underlag</a:t>
          </a:r>
        </a:p>
      </xdr:txBody>
    </xdr:sp>
    <xdr:clientData/>
  </xdr:twoCellAnchor>
  <xdr:twoCellAnchor>
    <xdr:from>
      <xdr:col>1</xdr:col>
      <xdr:colOff>52917</xdr:colOff>
      <xdr:row>3</xdr:row>
      <xdr:rowOff>52916</xdr:rowOff>
    </xdr:from>
    <xdr:to>
      <xdr:col>7</xdr:col>
      <xdr:colOff>10583</xdr:colOff>
      <xdr:row>5</xdr:row>
      <xdr:rowOff>88900</xdr:rowOff>
    </xdr:to>
    <xdr:sp macro="" textlink="" fLocksText="0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71639" y="1188860"/>
          <a:ext cx="6021916" cy="635707"/>
        </a:xfrm>
        <a:prstGeom prst="rect">
          <a:avLst/>
        </a:prstGeom>
        <a:solidFill>
          <a:schemeClr val="lt1"/>
        </a:solidFill>
        <a:ln w="6350" cmpd="sng">
          <a:solidFill>
            <a:schemeClr val="accent1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/>
            <a:t>Alla kostnader som belastar grisproduktionen ska fyllas i för att kalkylen ska bli så komplett som möjligt. Om det finns kostnader som är gemensamma för hela företaget, räkna ut hur stor andel som ska belasta grisarna.</a:t>
          </a:r>
        </a:p>
      </xdr:txBody>
    </xdr:sp>
    <xdr:clientData/>
  </xdr:twoCellAnchor>
  <xdr:twoCellAnchor>
    <xdr:from>
      <xdr:col>8</xdr:col>
      <xdr:colOff>4233</xdr:colOff>
      <xdr:row>3</xdr:row>
      <xdr:rowOff>57150</xdr:rowOff>
    </xdr:from>
    <xdr:to>
      <xdr:col>8</xdr:col>
      <xdr:colOff>8396111</xdr:colOff>
      <xdr:row>5</xdr:row>
      <xdr:rowOff>93134</xdr:rowOff>
    </xdr:to>
    <xdr:sp macro="" textlink="" fLocksText="0">
      <xdr:nvSpPr>
        <xdr:cNvPr id="4" name="textrut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357761" y="1193094"/>
          <a:ext cx="8391878" cy="635707"/>
        </a:xfrm>
        <a:prstGeom prst="rect">
          <a:avLst/>
        </a:prstGeom>
        <a:solidFill>
          <a:schemeClr val="lt1"/>
        </a:solidFill>
        <a:ln w="6350" cmpd="sng">
          <a:solidFill>
            <a:schemeClr val="accent1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/>
            <a:t>Informationen nedan är bara en vägledning och uppskattning av kostnaderna. Ytterligare kostnader kan tillkomma beroende på företaget.</a:t>
          </a:r>
        </a:p>
      </xdr:txBody>
    </xdr:sp>
    <xdr:clientData/>
  </xdr:twoCellAnchor>
  <xdr:twoCellAnchor>
    <xdr:from>
      <xdr:col>8</xdr:col>
      <xdr:colOff>2317750</xdr:colOff>
      <xdr:row>21</xdr:row>
      <xdr:rowOff>105833</xdr:rowOff>
    </xdr:from>
    <xdr:to>
      <xdr:col>8</xdr:col>
      <xdr:colOff>2317750</xdr:colOff>
      <xdr:row>24</xdr:row>
      <xdr:rowOff>285750</xdr:rowOff>
    </xdr:to>
    <xdr:cxnSp macro="">
      <xdr:nvCxnSpPr>
        <xdr:cNvPr id="6" name="Rak koppl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8392583" y="6741583"/>
          <a:ext cx="0" cy="1132417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5317067</xdr:colOff>
      <xdr:row>21</xdr:row>
      <xdr:rowOff>120650</xdr:rowOff>
    </xdr:from>
    <xdr:to>
      <xdr:col>8</xdr:col>
      <xdr:colOff>5317067</xdr:colOff>
      <xdr:row>24</xdr:row>
      <xdr:rowOff>300567</xdr:rowOff>
    </xdr:to>
    <xdr:cxnSp macro="">
      <xdr:nvCxnSpPr>
        <xdr:cNvPr id="7" name="Rak koppl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1391900" y="6756400"/>
          <a:ext cx="0" cy="1132417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119943</xdr:colOff>
      <xdr:row>0</xdr:row>
      <xdr:rowOff>0</xdr:rowOff>
    </xdr:from>
    <xdr:to>
      <xdr:col>1</xdr:col>
      <xdr:colOff>2173110</xdr:colOff>
      <xdr:row>1</xdr:row>
      <xdr:rowOff>247650</xdr:rowOff>
    </xdr:to>
    <xdr:sp macro="" textlink="">
      <xdr:nvSpPr>
        <xdr:cNvPr id="2" name="Frihandsfigu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flipH="1">
          <a:off x="419804" y="0"/>
          <a:ext cx="2053167" cy="628650"/>
        </a:xfrm>
        <a:custGeom>
          <a:avLst/>
          <a:gdLst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8314 w 1762300"/>
            <a:gd name="connsiteY11" fmla="*/ 561575 h 723479"/>
            <a:gd name="connsiteX12" fmla="*/ 0 w 1762300"/>
            <a:gd name="connsiteY12" fmla="*/ 542183 h 723479"/>
            <a:gd name="connsiteX13" fmla="*/ 8314 w 1762300"/>
            <a:gd name="connsiteY13" fmla="*/ 542194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8314 w 1762300"/>
            <a:gd name="connsiteY10" fmla="*/ 565265 h 723479"/>
            <a:gd name="connsiteX11" fmla="*/ 0 w 1762300"/>
            <a:gd name="connsiteY11" fmla="*/ 542183 h 723479"/>
            <a:gd name="connsiteX12" fmla="*/ 8314 w 1762300"/>
            <a:gd name="connsiteY12" fmla="*/ 542194 h 723479"/>
            <a:gd name="connsiteX13" fmla="*/ 8314 w 1762300"/>
            <a:gd name="connsiteY13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542194 h 723479"/>
            <a:gd name="connsiteX12" fmla="*/ 8314 w 1762300"/>
            <a:gd name="connsiteY12" fmla="*/ 0 h 723479"/>
            <a:gd name="connsiteX0" fmla="*/ 8314 w 1762300"/>
            <a:gd name="connsiteY0" fmla="*/ 0 h 723479"/>
            <a:gd name="connsiteX1" fmla="*/ 1762300 w 1762300"/>
            <a:gd name="connsiteY1" fmla="*/ 0 h 723479"/>
            <a:gd name="connsiteX2" fmla="*/ 1762300 w 1762300"/>
            <a:gd name="connsiteY2" fmla="*/ 565265 h 723479"/>
            <a:gd name="connsiteX3" fmla="*/ 1737254 w 1762300"/>
            <a:gd name="connsiteY3" fmla="*/ 565265 h 723479"/>
            <a:gd name="connsiteX4" fmla="*/ 1735156 w 1762300"/>
            <a:gd name="connsiteY4" fmla="*/ 567005 h 723479"/>
            <a:gd name="connsiteX5" fmla="*/ 1535708 w 1762300"/>
            <a:gd name="connsiteY5" fmla="*/ 612565 h 723479"/>
            <a:gd name="connsiteX6" fmla="*/ 805579 w 1762300"/>
            <a:gd name="connsiteY6" fmla="*/ 587043 h 723479"/>
            <a:gd name="connsiteX7" fmla="*/ 201336 w 1762300"/>
            <a:gd name="connsiteY7" fmla="*/ 723158 h 723479"/>
            <a:gd name="connsiteX8" fmla="*/ 25265 w 1762300"/>
            <a:gd name="connsiteY8" fmla="*/ 601111 h 723479"/>
            <a:gd name="connsiteX9" fmla="*/ 9896 w 1762300"/>
            <a:gd name="connsiteY9" fmla="*/ 565265 h 723479"/>
            <a:gd name="connsiteX10" fmla="*/ 0 w 1762300"/>
            <a:gd name="connsiteY10" fmla="*/ 542183 h 723479"/>
            <a:gd name="connsiteX11" fmla="*/ 8314 w 1762300"/>
            <a:gd name="connsiteY11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28940 w 1753986"/>
            <a:gd name="connsiteY3" fmla="*/ 565265 h 723479"/>
            <a:gd name="connsiteX4" fmla="*/ 1726842 w 1753986"/>
            <a:gd name="connsiteY4" fmla="*/ 567005 h 723479"/>
            <a:gd name="connsiteX5" fmla="*/ 1527394 w 1753986"/>
            <a:gd name="connsiteY5" fmla="*/ 612565 h 723479"/>
            <a:gd name="connsiteX6" fmla="*/ 797265 w 1753986"/>
            <a:gd name="connsiteY6" fmla="*/ 587043 h 723479"/>
            <a:gd name="connsiteX7" fmla="*/ 193022 w 1753986"/>
            <a:gd name="connsiteY7" fmla="*/ 723158 h 723479"/>
            <a:gd name="connsiteX8" fmla="*/ 16951 w 1753986"/>
            <a:gd name="connsiteY8" fmla="*/ 601111 h 723479"/>
            <a:gd name="connsiteX9" fmla="*/ 1582 w 1753986"/>
            <a:gd name="connsiteY9" fmla="*/ 565265 h 723479"/>
            <a:gd name="connsiteX10" fmla="*/ 0 w 1753986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28940 w 1768752"/>
            <a:gd name="connsiteY3" fmla="*/ 565265 h 723479"/>
            <a:gd name="connsiteX4" fmla="*/ 1768752 w 1768752"/>
            <a:gd name="connsiteY4" fmla="*/ 643205 h 723479"/>
            <a:gd name="connsiteX5" fmla="*/ 1527394 w 1768752"/>
            <a:gd name="connsiteY5" fmla="*/ 612565 h 723479"/>
            <a:gd name="connsiteX6" fmla="*/ 797265 w 1768752"/>
            <a:gd name="connsiteY6" fmla="*/ 587043 h 723479"/>
            <a:gd name="connsiteX7" fmla="*/ 193022 w 1768752"/>
            <a:gd name="connsiteY7" fmla="*/ 723158 h 723479"/>
            <a:gd name="connsiteX8" fmla="*/ 16951 w 1768752"/>
            <a:gd name="connsiteY8" fmla="*/ 601111 h 723479"/>
            <a:gd name="connsiteX9" fmla="*/ 1582 w 1768752"/>
            <a:gd name="connsiteY9" fmla="*/ 565265 h 723479"/>
            <a:gd name="connsiteX10" fmla="*/ 0 w 1768752"/>
            <a:gd name="connsiteY10" fmla="*/ 0 h 723479"/>
            <a:gd name="connsiteX0" fmla="*/ 0 w 1768752"/>
            <a:gd name="connsiteY0" fmla="*/ 0 h 723479"/>
            <a:gd name="connsiteX1" fmla="*/ 1753986 w 1768752"/>
            <a:gd name="connsiteY1" fmla="*/ 0 h 723479"/>
            <a:gd name="connsiteX2" fmla="*/ 1753986 w 1768752"/>
            <a:gd name="connsiteY2" fmla="*/ 565265 h 723479"/>
            <a:gd name="connsiteX3" fmla="*/ 1768752 w 1768752"/>
            <a:gd name="connsiteY3" fmla="*/ 643205 h 723479"/>
            <a:gd name="connsiteX4" fmla="*/ 1527394 w 1768752"/>
            <a:gd name="connsiteY4" fmla="*/ 612565 h 723479"/>
            <a:gd name="connsiteX5" fmla="*/ 797265 w 1768752"/>
            <a:gd name="connsiteY5" fmla="*/ 587043 h 723479"/>
            <a:gd name="connsiteX6" fmla="*/ 193022 w 1768752"/>
            <a:gd name="connsiteY6" fmla="*/ 723158 h 723479"/>
            <a:gd name="connsiteX7" fmla="*/ 16951 w 1768752"/>
            <a:gd name="connsiteY7" fmla="*/ 601111 h 723479"/>
            <a:gd name="connsiteX8" fmla="*/ 1582 w 1768752"/>
            <a:gd name="connsiteY8" fmla="*/ 565265 h 723479"/>
            <a:gd name="connsiteX9" fmla="*/ 0 w 1768752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715412 w 1753986"/>
            <a:gd name="connsiteY3" fmla="*/ 61653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69692 w 1753986"/>
            <a:gd name="connsiteY3" fmla="*/ 60510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681122 w 1753986"/>
            <a:gd name="connsiteY3" fmla="*/ 612725 h 723479"/>
            <a:gd name="connsiteX4" fmla="*/ 1527394 w 1753986"/>
            <a:gd name="connsiteY4" fmla="*/ 612565 h 723479"/>
            <a:gd name="connsiteX5" fmla="*/ 797265 w 1753986"/>
            <a:gd name="connsiteY5" fmla="*/ 587043 h 723479"/>
            <a:gd name="connsiteX6" fmla="*/ 193022 w 1753986"/>
            <a:gd name="connsiteY6" fmla="*/ 723158 h 723479"/>
            <a:gd name="connsiteX7" fmla="*/ 16951 w 1753986"/>
            <a:gd name="connsiteY7" fmla="*/ 601111 h 723479"/>
            <a:gd name="connsiteX8" fmla="*/ 1582 w 1753986"/>
            <a:gd name="connsiteY8" fmla="*/ 565265 h 723479"/>
            <a:gd name="connsiteX9" fmla="*/ 0 w 1753986"/>
            <a:gd name="connsiteY9" fmla="*/ 0 h 723479"/>
            <a:gd name="connsiteX0" fmla="*/ 0 w 1753986"/>
            <a:gd name="connsiteY0" fmla="*/ 0 h 723479"/>
            <a:gd name="connsiteX1" fmla="*/ 1753986 w 1753986"/>
            <a:gd name="connsiteY1" fmla="*/ 0 h 723479"/>
            <a:gd name="connsiteX2" fmla="*/ 1753986 w 1753986"/>
            <a:gd name="connsiteY2" fmla="*/ 565265 h 723479"/>
            <a:gd name="connsiteX3" fmla="*/ 1527394 w 1753986"/>
            <a:gd name="connsiteY3" fmla="*/ 612565 h 723479"/>
            <a:gd name="connsiteX4" fmla="*/ 797265 w 1753986"/>
            <a:gd name="connsiteY4" fmla="*/ 587043 h 723479"/>
            <a:gd name="connsiteX5" fmla="*/ 193022 w 1753986"/>
            <a:gd name="connsiteY5" fmla="*/ 723158 h 723479"/>
            <a:gd name="connsiteX6" fmla="*/ 16951 w 1753986"/>
            <a:gd name="connsiteY6" fmla="*/ 601111 h 723479"/>
            <a:gd name="connsiteX7" fmla="*/ 1582 w 1753986"/>
            <a:gd name="connsiteY7" fmla="*/ 565265 h 723479"/>
            <a:gd name="connsiteX8" fmla="*/ 0 w 1753986"/>
            <a:gd name="connsiteY8" fmla="*/ 0 h 723479"/>
            <a:gd name="connsiteX0" fmla="*/ 0 w 1753986"/>
            <a:gd name="connsiteY0" fmla="*/ 0 h 677892"/>
            <a:gd name="connsiteX1" fmla="*/ 1753986 w 1753986"/>
            <a:gd name="connsiteY1" fmla="*/ 0 h 677892"/>
            <a:gd name="connsiteX2" fmla="*/ 1753986 w 1753986"/>
            <a:gd name="connsiteY2" fmla="*/ 565265 h 677892"/>
            <a:gd name="connsiteX3" fmla="*/ 1527394 w 1753986"/>
            <a:gd name="connsiteY3" fmla="*/ 612565 h 677892"/>
            <a:gd name="connsiteX4" fmla="*/ 797265 w 1753986"/>
            <a:gd name="connsiteY4" fmla="*/ 587043 h 677892"/>
            <a:gd name="connsiteX5" fmla="*/ 273032 w 1753986"/>
            <a:gd name="connsiteY5" fmla="*/ 677438 h 677892"/>
            <a:gd name="connsiteX6" fmla="*/ 16951 w 1753986"/>
            <a:gd name="connsiteY6" fmla="*/ 601111 h 677892"/>
            <a:gd name="connsiteX7" fmla="*/ 1582 w 1753986"/>
            <a:gd name="connsiteY7" fmla="*/ 565265 h 677892"/>
            <a:gd name="connsiteX8" fmla="*/ 0 w 1753986"/>
            <a:gd name="connsiteY8" fmla="*/ 0 h 677892"/>
            <a:gd name="connsiteX0" fmla="*/ 0 w 1753986"/>
            <a:gd name="connsiteY0" fmla="*/ 0 h 696473"/>
            <a:gd name="connsiteX1" fmla="*/ 1753986 w 1753986"/>
            <a:gd name="connsiteY1" fmla="*/ 0 h 696473"/>
            <a:gd name="connsiteX2" fmla="*/ 1753986 w 1753986"/>
            <a:gd name="connsiteY2" fmla="*/ 565265 h 696473"/>
            <a:gd name="connsiteX3" fmla="*/ 1527394 w 1753986"/>
            <a:gd name="connsiteY3" fmla="*/ 696385 h 696473"/>
            <a:gd name="connsiteX4" fmla="*/ 797265 w 1753986"/>
            <a:gd name="connsiteY4" fmla="*/ 587043 h 696473"/>
            <a:gd name="connsiteX5" fmla="*/ 273032 w 1753986"/>
            <a:gd name="connsiteY5" fmla="*/ 677438 h 696473"/>
            <a:gd name="connsiteX6" fmla="*/ 16951 w 1753986"/>
            <a:gd name="connsiteY6" fmla="*/ 601111 h 696473"/>
            <a:gd name="connsiteX7" fmla="*/ 1582 w 1753986"/>
            <a:gd name="connsiteY7" fmla="*/ 565265 h 696473"/>
            <a:gd name="connsiteX8" fmla="*/ 0 w 1753986"/>
            <a:gd name="connsiteY8" fmla="*/ 0 h 696473"/>
            <a:gd name="connsiteX0" fmla="*/ 0 w 1753986"/>
            <a:gd name="connsiteY0" fmla="*/ 0 h 677850"/>
            <a:gd name="connsiteX1" fmla="*/ 1753986 w 1753986"/>
            <a:gd name="connsiteY1" fmla="*/ 0 h 677850"/>
            <a:gd name="connsiteX2" fmla="*/ 1753986 w 1753986"/>
            <a:gd name="connsiteY2" fmla="*/ 565265 h 677850"/>
            <a:gd name="connsiteX3" fmla="*/ 1527394 w 1753986"/>
            <a:gd name="connsiteY3" fmla="*/ 669715 h 677850"/>
            <a:gd name="connsiteX4" fmla="*/ 797265 w 1753986"/>
            <a:gd name="connsiteY4" fmla="*/ 587043 h 677850"/>
            <a:gd name="connsiteX5" fmla="*/ 273032 w 1753986"/>
            <a:gd name="connsiteY5" fmla="*/ 677438 h 677850"/>
            <a:gd name="connsiteX6" fmla="*/ 16951 w 1753986"/>
            <a:gd name="connsiteY6" fmla="*/ 601111 h 677850"/>
            <a:gd name="connsiteX7" fmla="*/ 1582 w 1753986"/>
            <a:gd name="connsiteY7" fmla="*/ 565265 h 677850"/>
            <a:gd name="connsiteX8" fmla="*/ 0 w 1753986"/>
            <a:gd name="connsiteY8" fmla="*/ 0 h 677850"/>
            <a:gd name="connsiteX0" fmla="*/ 0 w 1753986"/>
            <a:gd name="connsiteY0" fmla="*/ 0 h 677858"/>
            <a:gd name="connsiteX1" fmla="*/ 1753986 w 1753986"/>
            <a:gd name="connsiteY1" fmla="*/ 0 h 677858"/>
            <a:gd name="connsiteX2" fmla="*/ 1753986 w 1753986"/>
            <a:gd name="connsiteY2" fmla="*/ 565265 h 677858"/>
            <a:gd name="connsiteX3" fmla="*/ 1405474 w 1753986"/>
            <a:gd name="connsiteY3" fmla="*/ 658285 h 677858"/>
            <a:gd name="connsiteX4" fmla="*/ 797265 w 1753986"/>
            <a:gd name="connsiteY4" fmla="*/ 587043 h 677858"/>
            <a:gd name="connsiteX5" fmla="*/ 273032 w 1753986"/>
            <a:gd name="connsiteY5" fmla="*/ 677438 h 677858"/>
            <a:gd name="connsiteX6" fmla="*/ 16951 w 1753986"/>
            <a:gd name="connsiteY6" fmla="*/ 601111 h 677858"/>
            <a:gd name="connsiteX7" fmla="*/ 1582 w 1753986"/>
            <a:gd name="connsiteY7" fmla="*/ 565265 h 677858"/>
            <a:gd name="connsiteX8" fmla="*/ 0 w 1753986"/>
            <a:gd name="connsiteY8" fmla="*/ 0 h 677858"/>
            <a:gd name="connsiteX0" fmla="*/ 0 w 1753986"/>
            <a:gd name="connsiteY0" fmla="*/ 0 h 677861"/>
            <a:gd name="connsiteX1" fmla="*/ 1753986 w 1753986"/>
            <a:gd name="connsiteY1" fmla="*/ 0 h 677861"/>
            <a:gd name="connsiteX2" fmla="*/ 1753986 w 1753986"/>
            <a:gd name="connsiteY2" fmla="*/ 565265 h 677861"/>
            <a:gd name="connsiteX3" fmla="*/ 1367374 w 1753986"/>
            <a:gd name="connsiteY3" fmla="*/ 654475 h 677861"/>
            <a:gd name="connsiteX4" fmla="*/ 797265 w 1753986"/>
            <a:gd name="connsiteY4" fmla="*/ 587043 h 677861"/>
            <a:gd name="connsiteX5" fmla="*/ 273032 w 1753986"/>
            <a:gd name="connsiteY5" fmla="*/ 677438 h 677861"/>
            <a:gd name="connsiteX6" fmla="*/ 16951 w 1753986"/>
            <a:gd name="connsiteY6" fmla="*/ 601111 h 677861"/>
            <a:gd name="connsiteX7" fmla="*/ 1582 w 1753986"/>
            <a:gd name="connsiteY7" fmla="*/ 565265 h 677861"/>
            <a:gd name="connsiteX8" fmla="*/ 0 w 1753986"/>
            <a:gd name="connsiteY8" fmla="*/ 0 h 677861"/>
            <a:gd name="connsiteX0" fmla="*/ 0 w 1753986"/>
            <a:gd name="connsiteY0" fmla="*/ 0 h 677863"/>
            <a:gd name="connsiteX1" fmla="*/ 1753986 w 1753986"/>
            <a:gd name="connsiteY1" fmla="*/ 0 h 677863"/>
            <a:gd name="connsiteX2" fmla="*/ 1753986 w 1753986"/>
            <a:gd name="connsiteY2" fmla="*/ 565265 h 677863"/>
            <a:gd name="connsiteX3" fmla="*/ 1355944 w 1753986"/>
            <a:gd name="connsiteY3" fmla="*/ 650665 h 677863"/>
            <a:gd name="connsiteX4" fmla="*/ 797265 w 1753986"/>
            <a:gd name="connsiteY4" fmla="*/ 587043 h 677863"/>
            <a:gd name="connsiteX5" fmla="*/ 273032 w 1753986"/>
            <a:gd name="connsiteY5" fmla="*/ 677438 h 677863"/>
            <a:gd name="connsiteX6" fmla="*/ 16951 w 1753986"/>
            <a:gd name="connsiteY6" fmla="*/ 601111 h 677863"/>
            <a:gd name="connsiteX7" fmla="*/ 1582 w 1753986"/>
            <a:gd name="connsiteY7" fmla="*/ 565265 h 677863"/>
            <a:gd name="connsiteX8" fmla="*/ 0 w 1753986"/>
            <a:gd name="connsiteY8" fmla="*/ 0 h 677863"/>
            <a:gd name="connsiteX0" fmla="*/ 0 w 1753986"/>
            <a:gd name="connsiteY0" fmla="*/ 0 h 677545"/>
            <a:gd name="connsiteX1" fmla="*/ 1753986 w 1753986"/>
            <a:gd name="connsiteY1" fmla="*/ 0 h 677545"/>
            <a:gd name="connsiteX2" fmla="*/ 1753986 w 1753986"/>
            <a:gd name="connsiteY2" fmla="*/ 565265 h 677545"/>
            <a:gd name="connsiteX3" fmla="*/ 1355944 w 1753986"/>
            <a:gd name="connsiteY3" fmla="*/ 650665 h 677545"/>
            <a:gd name="connsiteX4" fmla="*/ 797265 w 1753986"/>
            <a:gd name="connsiteY4" fmla="*/ 587043 h 677545"/>
            <a:gd name="connsiteX5" fmla="*/ 273032 w 1753986"/>
            <a:gd name="connsiteY5" fmla="*/ 677438 h 677545"/>
            <a:gd name="connsiteX6" fmla="*/ 1582 w 1753986"/>
            <a:gd name="connsiteY6" fmla="*/ 565265 h 677545"/>
            <a:gd name="connsiteX7" fmla="*/ 0 w 1753986"/>
            <a:gd name="connsiteY7" fmla="*/ 0 h 677545"/>
            <a:gd name="connsiteX0" fmla="*/ 0 w 1753986"/>
            <a:gd name="connsiteY0" fmla="*/ 0 h 669933"/>
            <a:gd name="connsiteX1" fmla="*/ 1753986 w 1753986"/>
            <a:gd name="connsiteY1" fmla="*/ 0 h 669933"/>
            <a:gd name="connsiteX2" fmla="*/ 1753986 w 1753986"/>
            <a:gd name="connsiteY2" fmla="*/ 565265 h 669933"/>
            <a:gd name="connsiteX3" fmla="*/ 1355944 w 1753986"/>
            <a:gd name="connsiteY3" fmla="*/ 650665 h 669933"/>
            <a:gd name="connsiteX4" fmla="*/ 797265 w 1753986"/>
            <a:gd name="connsiteY4" fmla="*/ 587043 h 669933"/>
            <a:gd name="connsiteX5" fmla="*/ 307322 w 1753986"/>
            <a:gd name="connsiteY5" fmla="*/ 669818 h 669933"/>
            <a:gd name="connsiteX6" fmla="*/ 1582 w 1753986"/>
            <a:gd name="connsiteY6" fmla="*/ 565265 h 669933"/>
            <a:gd name="connsiteX7" fmla="*/ 0 w 1753986"/>
            <a:gd name="connsiteY7" fmla="*/ 0 h 6699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53986" h="669933">
              <a:moveTo>
                <a:pt x="0" y="0"/>
              </a:moveTo>
              <a:lnTo>
                <a:pt x="1753986" y="0"/>
              </a:lnTo>
              <a:lnTo>
                <a:pt x="1753986" y="565265"/>
              </a:lnTo>
              <a:cubicBezTo>
                <a:pt x="1716221" y="667359"/>
                <a:pt x="1515398" y="647035"/>
                <a:pt x="1355944" y="650665"/>
              </a:cubicBezTo>
              <a:cubicBezTo>
                <a:pt x="1196491" y="654295"/>
                <a:pt x="972035" y="583851"/>
                <a:pt x="797265" y="587043"/>
              </a:cubicBezTo>
              <a:cubicBezTo>
                <a:pt x="622495" y="590235"/>
                <a:pt x="439936" y="673448"/>
                <a:pt x="307322" y="669818"/>
              </a:cubicBezTo>
              <a:cubicBezTo>
                <a:pt x="174708" y="666188"/>
                <a:pt x="47087" y="678171"/>
                <a:pt x="1582" y="565265"/>
              </a:cubicBezTo>
              <a:cubicBezTo>
                <a:pt x="1055" y="376843"/>
                <a:pt x="527" y="188422"/>
                <a:pt x="0" y="0"/>
              </a:cubicBezTo>
              <a:close/>
            </a:path>
          </a:pathLst>
        </a:custGeom>
        <a:solidFill>
          <a:srgbClr val="173A5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/>
            <a:t>Min kalkyl</a:t>
          </a:r>
        </a:p>
      </xdr:txBody>
    </xdr:sp>
    <xdr:clientData/>
  </xdr:twoCellAnchor>
  <xdr:twoCellAnchor>
    <xdr:from>
      <xdr:col>1</xdr:col>
      <xdr:colOff>0</xdr:colOff>
      <xdr:row>3</xdr:row>
      <xdr:rowOff>38100</xdr:rowOff>
    </xdr:from>
    <xdr:to>
      <xdr:col>9</xdr:col>
      <xdr:colOff>11906</xdr:colOff>
      <xdr:row>3</xdr:row>
      <xdr:rowOff>666750</xdr:rowOff>
    </xdr:to>
    <xdr:sp macro="" textlink="" fLocksText="0">
      <xdr:nvSpPr>
        <xdr:cNvPr id="3" name="textrut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0" y="1169194"/>
          <a:ext cx="7739062" cy="628650"/>
        </a:xfrm>
        <a:prstGeom prst="rect">
          <a:avLst/>
        </a:prstGeom>
        <a:solidFill>
          <a:schemeClr val="lt1"/>
        </a:solidFill>
        <a:ln w="6350" cmpd="sng">
          <a:solidFill>
            <a:schemeClr val="accent1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/>
            <a:t>Fyll i din</a:t>
          </a:r>
          <a:r>
            <a:rPr lang="sv-SE" sz="1100" baseline="0"/>
            <a:t>a besättningsegna värden i de blå fälten.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Värdena i de grå fälten kommer från flikarna "Mitt ekonomiska underlag" samt "Mina produktionsnyckeltal".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</xdr:txBody>
    </xdr:sp>
    <xdr:clientData/>
  </xdr:twoCellAnchor>
  <xdr:twoCellAnchor>
    <xdr:from>
      <xdr:col>2</xdr:col>
      <xdr:colOff>28575</xdr:colOff>
      <xdr:row>40</xdr:row>
      <xdr:rowOff>104775</xdr:rowOff>
    </xdr:from>
    <xdr:to>
      <xdr:col>4</xdr:col>
      <xdr:colOff>447675</xdr:colOff>
      <xdr:row>41</xdr:row>
      <xdr:rowOff>152400</xdr:rowOff>
    </xdr:to>
    <xdr:sp macro="" textlink="">
      <xdr:nvSpPr>
        <xdr:cNvPr id="4" name="Bildtext 1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657475" y="13896975"/>
          <a:ext cx="1409700" cy="400050"/>
        </a:xfrm>
        <a:prstGeom prst="borderCallout1">
          <a:avLst>
            <a:gd name="adj1" fmla="val 40625"/>
            <a:gd name="adj2" fmla="val 102587"/>
            <a:gd name="adj3" fmla="val 96280"/>
            <a:gd name="adj4" fmla="val 127386"/>
          </a:avLst>
        </a:prstGeom>
        <a:solidFill>
          <a:schemeClr val="bg1">
            <a:lumMod val="95000"/>
          </a:schemeClr>
        </a:solidFill>
        <a:ln w="9525">
          <a:solidFill>
            <a:schemeClr val="accent2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900">
              <a:solidFill>
                <a:sysClr val="windowText" lastClr="000000"/>
              </a:solidFill>
            </a:rPr>
            <a:t>Kan hämtas vid beräkning i "Investeringskalkyl gris"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1" tint="0.499984740745262"/>
    <pageSetUpPr fitToPage="1"/>
  </sheetPr>
  <dimension ref="A1:Y33"/>
  <sheetViews>
    <sheetView showRowColHeaders="0" topLeftCell="A7" zoomScaleNormal="100" workbookViewId="0">
      <selection activeCell="C12" sqref="C12"/>
    </sheetView>
  </sheetViews>
  <sheetFormatPr defaultColWidth="9.140625" defaultRowHeight="12.75" x14ac:dyDescent="0.2"/>
  <cols>
    <col min="1" max="1" width="2.140625" style="230" customWidth="1"/>
    <col min="2" max="2" width="8.7109375" style="230" customWidth="1"/>
    <col min="3" max="3" width="6.85546875" style="230" customWidth="1"/>
    <col min="4" max="12" width="8.7109375" style="230" customWidth="1"/>
    <col min="13" max="13" width="3.28515625" style="230" customWidth="1"/>
    <col min="14" max="16384" width="9.140625" style="230"/>
  </cols>
  <sheetData>
    <row r="1" spans="1:25" s="218" customFormat="1" ht="30" customHeight="1" x14ac:dyDescent="0.25">
      <c r="B1" s="314"/>
      <c r="C1" s="314"/>
      <c r="D1" s="314"/>
      <c r="E1" s="314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</row>
    <row r="2" spans="1:25" s="220" customFormat="1" ht="27.75" customHeight="1" x14ac:dyDescent="0.25">
      <c r="B2" s="221"/>
      <c r="C2" s="221"/>
      <c r="D2" s="221"/>
      <c r="E2" s="221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1:25" s="223" customFormat="1" ht="20.45" customHeight="1" x14ac:dyDescent="0.25">
      <c r="B3" s="223" t="s">
        <v>246</v>
      </c>
    </row>
    <row r="4" spans="1:25" s="224" customFormat="1" ht="105.95" customHeight="1" x14ac:dyDescent="0.2">
      <c r="B4" s="225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25" s="224" customFormat="1" ht="7.5" customHeight="1" x14ac:dyDescent="0.2">
      <c r="B5" s="227"/>
    </row>
    <row r="6" spans="1:25" s="224" customFormat="1" ht="21" x14ac:dyDescent="0.2">
      <c r="B6" s="315" t="s">
        <v>186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</row>
    <row r="7" spans="1:25" s="224" customFormat="1" ht="83.85" customHeight="1" x14ac:dyDescent="0.2"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</row>
    <row r="8" spans="1:25" s="224" customFormat="1" ht="20.100000000000001" customHeight="1" x14ac:dyDescent="0.2">
      <c r="B8" s="311" t="s">
        <v>181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</row>
    <row r="9" spans="1:25" ht="83.25" customHeight="1" x14ac:dyDescent="0.2">
      <c r="A9" s="229"/>
      <c r="B9" s="316" t="s">
        <v>188</v>
      </c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25" ht="7.5" customHeight="1" x14ac:dyDescent="0.25">
      <c r="A10" s="229"/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2"/>
    </row>
    <row r="11" spans="1:25" ht="15" customHeight="1" thickBot="1" x14ac:dyDescent="0.3">
      <c r="A11" s="229"/>
      <c r="B11" s="231"/>
      <c r="C11" s="233"/>
      <c r="D11" s="232" t="s">
        <v>29</v>
      </c>
      <c r="E11" s="232"/>
      <c r="F11" s="232"/>
      <c r="G11" s="232"/>
      <c r="H11" s="232"/>
      <c r="I11" s="232"/>
      <c r="J11" s="232"/>
      <c r="K11" s="232"/>
      <c r="L11" s="232"/>
    </row>
    <row r="12" spans="1:25" ht="15" customHeight="1" thickTop="1" x14ac:dyDescent="0.25">
      <c r="A12" s="229"/>
      <c r="B12" s="231"/>
      <c r="C12" s="234"/>
      <c r="D12" s="232" t="s">
        <v>182</v>
      </c>
      <c r="E12" s="232"/>
      <c r="F12" s="232"/>
      <c r="G12" s="232"/>
      <c r="H12" s="232"/>
      <c r="I12" s="232"/>
      <c r="J12" s="232"/>
      <c r="K12" s="232"/>
      <c r="L12" s="232"/>
    </row>
    <row r="13" spans="1:25" x14ac:dyDescent="0.2">
      <c r="A13" s="229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</row>
    <row r="14" spans="1:25" x14ac:dyDescent="0.2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</row>
    <row r="15" spans="1:25" ht="20.100000000000001" customHeight="1" x14ac:dyDescent="0.2">
      <c r="A15" s="229"/>
      <c r="B15" s="311" t="s">
        <v>183</v>
      </c>
      <c r="C15" s="311"/>
      <c r="D15" s="311"/>
      <c r="E15" s="311"/>
      <c r="F15" s="311"/>
      <c r="G15" s="311"/>
      <c r="H15" s="311"/>
      <c r="I15" s="311"/>
      <c r="J15" s="311"/>
      <c r="K15" s="311"/>
      <c r="L15" s="311"/>
    </row>
    <row r="16" spans="1:25" ht="53.85" customHeight="1" x14ac:dyDescent="0.2">
      <c r="A16" s="229"/>
      <c r="B16" s="316" t="s">
        <v>187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</row>
    <row r="17" spans="1:12" x14ac:dyDescent="0.2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</row>
    <row r="18" spans="1:12" ht="20.100000000000001" customHeight="1" x14ac:dyDescent="0.2">
      <c r="A18" s="229"/>
      <c r="B18" s="311" t="s">
        <v>184</v>
      </c>
      <c r="C18" s="311"/>
      <c r="D18" s="311"/>
      <c r="E18" s="311"/>
      <c r="F18" s="311"/>
      <c r="G18" s="311"/>
      <c r="H18" s="311"/>
      <c r="I18" s="311"/>
      <c r="J18" s="311"/>
      <c r="K18" s="311"/>
      <c r="L18" s="311"/>
    </row>
    <row r="19" spans="1:12" x14ac:dyDescent="0.2">
      <c r="A19" s="229"/>
      <c r="B19" s="312" t="s">
        <v>185</v>
      </c>
      <c r="C19" s="313"/>
      <c r="D19" s="313"/>
      <c r="E19" s="313"/>
      <c r="F19" s="313"/>
      <c r="G19" s="313"/>
      <c r="H19" s="313"/>
      <c r="I19" s="313"/>
      <c r="J19" s="313"/>
      <c r="K19" s="313"/>
      <c r="L19" s="313"/>
    </row>
    <row r="20" spans="1:12" x14ac:dyDescent="0.2">
      <c r="A20" s="229"/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</row>
    <row r="21" spans="1:12" x14ac:dyDescent="0.2">
      <c r="A21" s="229"/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</row>
    <row r="22" spans="1:12" x14ac:dyDescent="0.2">
      <c r="A22" s="229"/>
      <c r="E22" s="229"/>
      <c r="F22" s="229"/>
      <c r="G22" s="229"/>
      <c r="H22" s="229"/>
      <c r="I22" s="229"/>
      <c r="J22" s="229"/>
    </row>
    <row r="23" spans="1:12" x14ac:dyDescent="0.2">
      <c r="A23" s="229"/>
      <c r="E23" s="229"/>
      <c r="F23" s="229"/>
      <c r="G23" s="229"/>
      <c r="H23" s="229"/>
      <c r="I23" s="229"/>
      <c r="J23" s="229"/>
    </row>
    <row r="24" spans="1:12" x14ac:dyDescent="0.2">
      <c r="A24" s="229"/>
      <c r="B24" s="229"/>
      <c r="C24" s="229"/>
      <c r="D24" s="229"/>
      <c r="E24" s="229"/>
      <c r="F24" s="229"/>
      <c r="G24" s="229"/>
      <c r="H24" s="229"/>
      <c r="I24" s="229"/>
      <c r="J24" s="229"/>
    </row>
    <row r="25" spans="1:12" x14ac:dyDescent="0.2">
      <c r="A25" s="229"/>
      <c r="B25" s="229"/>
      <c r="C25" s="229"/>
      <c r="D25" s="229"/>
      <c r="E25" s="229"/>
      <c r="F25" s="229"/>
      <c r="G25" s="229"/>
      <c r="H25" s="229"/>
      <c r="I25" s="229"/>
      <c r="J25" s="229"/>
    </row>
    <row r="26" spans="1:12" x14ac:dyDescent="0.2">
      <c r="A26" s="229"/>
      <c r="B26" s="229"/>
      <c r="C26" s="229"/>
      <c r="D26" s="229"/>
      <c r="E26" s="229"/>
      <c r="F26" s="229"/>
      <c r="G26" s="229"/>
      <c r="H26" s="229"/>
      <c r="I26" s="229"/>
      <c r="J26" s="229"/>
    </row>
    <row r="27" spans="1:12" x14ac:dyDescent="0.2">
      <c r="A27" s="229"/>
      <c r="B27" s="229"/>
      <c r="C27" s="229"/>
      <c r="D27" s="229"/>
      <c r="E27" s="229"/>
      <c r="F27" s="229"/>
      <c r="G27" s="229"/>
      <c r="H27" s="229"/>
      <c r="I27" s="229"/>
      <c r="J27" s="229"/>
    </row>
    <row r="28" spans="1:12" x14ac:dyDescent="0.2">
      <c r="A28" s="229"/>
      <c r="B28" s="229"/>
      <c r="C28" s="229"/>
      <c r="D28" s="229"/>
      <c r="E28" s="235"/>
      <c r="F28" s="229"/>
      <c r="G28" s="229"/>
      <c r="H28" s="229"/>
      <c r="I28" s="229"/>
      <c r="J28" s="229"/>
    </row>
    <row r="29" spans="1:12" x14ac:dyDescent="0.2">
      <c r="A29" s="229"/>
      <c r="B29" s="229"/>
      <c r="C29" s="229"/>
      <c r="D29" s="229"/>
      <c r="E29" s="235"/>
      <c r="F29" s="229"/>
      <c r="G29" s="229"/>
      <c r="H29" s="229"/>
      <c r="I29" s="229"/>
      <c r="J29" s="229"/>
    </row>
    <row r="30" spans="1:12" x14ac:dyDescent="0.2">
      <c r="A30" s="229"/>
      <c r="B30" s="229"/>
      <c r="C30" s="229"/>
      <c r="D30" s="229"/>
      <c r="E30" s="229"/>
      <c r="F30" s="229"/>
      <c r="G30" s="229"/>
      <c r="H30" s="229"/>
      <c r="I30" s="229"/>
      <c r="J30" s="229"/>
    </row>
    <row r="31" spans="1:12" x14ac:dyDescent="0.2">
      <c r="A31" s="229"/>
      <c r="B31" s="229"/>
      <c r="C31" s="229"/>
      <c r="D31" s="229"/>
      <c r="E31" s="229"/>
      <c r="F31" s="229"/>
      <c r="G31" s="229"/>
      <c r="H31" s="229"/>
      <c r="I31" s="229"/>
      <c r="J31" s="229"/>
    </row>
    <row r="32" spans="1:12" x14ac:dyDescent="0.2">
      <c r="A32" s="229"/>
      <c r="B32" s="229"/>
      <c r="C32" s="229"/>
      <c r="D32" s="229"/>
      <c r="E32" s="229"/>
      <c r="F32" s="229"/>
      <c r="G32" s="229"/>
      <c r="H32" s="229"/>
      <c r="I32" s="229"/>
      <c r="J32" s="229"/>
    </row>
    <row r="33" spans="1:10" x14ac:dyDescent="0.2">
      <c r="A33" s="229"/>
      <c r="B33" s="229"/>
      <c r="C33" s="229"/>
      <c r="D33" s="229"/>
      <c r="E33" s="229"/>
      <c r="F33" s="229"/>
      <c r="G33" s="229"/>
      <c r="H33" s="229"/>
      <c r="I33" s="229"/>
      <c r="J33" s="229"/>
    </row>
  </sheetData>
  <sheetProtection selectLockedCells="1" selectUnlockedCells="1"/>
  <mergeCells count="8">
    <mergeCell ref="B18:L18"/>
    <mergeCell ref="B19:L21"/>
    <mergeCell ref="B1:E1"/>
    <mergeCell ref="B6:L6"/>
    <mergeCell ref="B8:L8"/>
    <mergeCell ref="B9:L9"/>
    <mergeCell ref="B15:L15"/>
    <mergeCell ref="B16:L16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57"/>
    <pageSetUpPr fitToPage="1"/>
  </sheetPr>
  <dimension ref="A1:U75"/>
  <sheetViews>
    <sheetView zoomScaleNormal="100" workbookViewId="0">
      <pane ySplit="3" topLeftCell="A10" activePane="bottomLeft" state="frozen"/>
      <selection activeCell="B29" sqref="B29"/>
      <selection pane="bottomLeft" activeCell="J14" sqref="J14"/>
    </sheetView>
  </sheetViews>
  <sheetFormatPr defaultColWidth="9.140625" defaultRowHeight="15" x14ac:dyDescent="0.25"/>
  <cols>
    <col min="1" max="1" width="4.28515625" style="26" customWidth="1"/>
    <col min="2" max="2" width="39.7109375" style="1" customWidth="1"/>
    <col min="3" max="3" width="9.85546875" style="16" customWidth="1"/>
    <col min="4" max="5" width="12.5703125" style="1" customWidth="1"/>
    <col min="6" max="6" width="6.85546875" style="1" customWidth="1"/>
    <col min="7" max="7" width="7.42578125" style="1" customWidth="1"/>
    <col min="8" max="8" width="39.7109375" style="1" customWidth="1"/>
    <col min="9" max="9" width="9.85546875" style="1" customWidth="1"/>
    <col min="10" max="11" width="12.5703125" style="1" customWidth="1"/>
    <col min="12" max="12" width="9.140625" style="1" customWidth="1"/>
    <col min="13" max="16384" width="9.140625" style="1"/>
  </cols>
  <sheetData>
    <row r="1" spans="2:21" s="60" customFormat="1" ht="30" customHeight="1" x14ac:dyDescent="0.25">
      <c r="C1" s="317"/>
      <c r="D1" s="317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2:21" s="2" customFormat="1" ht="38.25" customHeight="1" x14ac:dyDescent="0.25"/>
    <row r="3" spans="2:21" s="62" customFormat="1" ht="24.95" customHeight="1" x14ac:dyDescent="0.25">
      <c r="B3" s="318" t="s">
        <v>136</v>
      </c>
      <c r="C3" s="318"/>
      <c r="D3" s="318"/>
      <c r="E3" s="318"/>
      <c r="F3" s="63"/>
      <c r="G3" s="87"/>
      <c r="H3" s="318" t="s">
        <v>142</v>
      </c>
      <c r="I3" s="318"/>
      <c r="J3" s="318"/>
      <c r="K3" s="318"/>
    </row>
    <row r="4" spans="2:21" s="62" customFormat="1" ht="59.25" customHeight="1" x14ac:dyDescent="0.25">
      <c r="G4" s="87"/>
      <c r="H4" s="26"/>
      <c r="I4" s="26"/>
      <c r="J4" s="26"/>
      <c r="K4" s="26"/>
    </row>
    <row r="5" spans="2:21" ht="71.25" customHeight="1" thickBot="1" x14ac:dyDescent="0.4">
      <c r="B5" s="65"/>
      <c r="C5" s="66" t="s">
        <v>11</v>
      </c>
      <c r="D5" s="67" t="s">
        <v>137</v>
      </c>
      <c r="E5" s="68" t="s">
        <v>189</v>
      </c>
      <c r="G5" s="87"/>
      <c r="H5" s="74" t="s">
        <v>139</v>
      </c>
      <c r="I5" s="66" t="s">
        <v>11</v>
      </c>
      <c r="J5" s="67" t="s">
        <v>137</v>
      </c>
      <c r="K5" s="68" t="s">
        <v>189</v>
      </c>
    </row>
    <row r="6" spans="2:21" ht="25.5" customHeight="1" thickBot="1" x14ac:dyDescent="0.3">
      <c r="B6" s="191" t="s">
        <v>84</v>
      </c>
      <c r="C6" s="70" t="s">
        <v>13</v>
      </c>
      <c r="D6" s="205">
        <v>400</v>
      </c>
      <c r="E6" s="75">
        <v>391</v>
      </c>
      <c r="G6" s="87"/>
      <c r="H6" s="69" t="s">
        <v>215</v>
      </c>
      <c r="I6" s="70" t="s">
        <v>119</v>
      </c>
      <c r="J6" s="205">
        <v>7400</v>
      </c>
      <c r="K6" s="71"/>
    </row>
    <row r="7" spans="2:21" ht="25.5" customHeight="1" thickBot="1" x14ac:dyDescent="0.3">
      <c r="G7" s="87"/>
      <c r="H7" s="69" t="s">
        <v>216</v>
      </c>
      <c r="I7" s="70" t="s">
        <v>119</v>
      </c>
      <c r="J7" s="205">
        <v>0</v>
      </c>
      <c r="K7" s="71"/>
    </row>
    <row r="8" spans="2:21" ht="25.5" customHeight="1" thickBot="1" x14ac:dyDescent="0.4">
      <c r="B8" s="65" t="s">
        <v>38</v>
      </c>
      <c r="C8" s="27"/>
      <c r="D8" s="27"/>
      <c r="E8" s="26"/>
      <c r="G8" s="87"/>
      <c r="H8" s="69" t="s">
        <v>217</v>
      </c>
      <c r="I8" s="70" t="s">
        <v>92</v>
      </c>
      <c r="J8" s="206">
        <v>2.7</v>
      </c>
      <c r="K8" s="71"/>
      <c r="L8" s="18"/>
      <c r="M8" s="18"/>
      <c r="N8" s="18"/>
      <c r="O8" s="18"/>
    </row>
    <row r="9" spans="2:21" ht="25.5" customHeight="1" thickBot="1" x14ac:dyDescent="0.3">
      <c r="B9" s="69" t="s">
        <v>42</v>
      </c>
      <c r="C9" s="70" t="s">
        <v>13</v>
      </c>
      <c r="D9" s="205">
        <v>210</v>
      </c>
      <c r="E9" s="71"/>
      <c r="G9" s="88"/>
      <c r="H9" s="69" t="s">
        <v>218</v>
      </c>
      <c r="I9" s="70" t="s">
        <v>120</v>
      </c>
      <c r="J9" s="208">
        <v>9.6</v>
      </c>
      <c r="K9" s="71"/>
      <c r="L9" s="18"/>
      <c r="M9" s="18"/>
      <c r="N9" s="18"/>
      <c r="O9" s="18"/>
    </row>
    <row r="10" spans="2:21" ht="25.5" customHeight="1" thickBot="1" x14ac:dyDescent="0.3">
      <c r="B10" s="195" t="s">
        <v>199</v>
      </c>
      <c r="C10" s="70" t="s">
        <v>13</v>
      </c>
      <c r="D10" s="205">
        <v>35</v>
      </c>
      <c r="E10" s="71"/>
      <c r="G10" s="87"/>
      <c r="H10" s="242" t="s">
        <v>122</v>
      </c>
      <c r="I10" s="70" t="s">
        <v>121</v>
      </c>
      <c r="J10" s="210">
        <f>IFERROR((J8*100)/J9,0)</f>
        <v>28.125</v>
      </c>
      <c r="K10" s="71"/>
      <c r="L10" s="18"/>
      <c r="M10" s="18"/>
      <c r="N10" s="18"/>
      <c r="O10" s="18"/>
    </row>
    <row r="11" spans="2:21" ht="25.5" customHeight="1" thickBot="1" x14ac:dyDescent="0.3">
      <c r="B11" s="69" t="s">
        <v>33</v>
      </c>
      <c r="C11" s="70" t="s">
        <v>15</v>
      </c>
      <c r="D11" s="78">
        <f>IFERROR(('Mina Produktionsnyckeltal'!D9+'Mina Produktionsnyckeltal'!D10)/'Mina Produktionsnyckeltal'!D$6,0)</f>
        <v>0.61250000000000004</v>
      </c>
      <c r="E11" s="76">
        <v>0.55100000000000005</v>
      </c>
      <c r="G11" s="87"/>
      <c r="H11" s="69" t="s">
        <v>219</v>
      </c>
      <c r="I11" s="70" t="s">
        <v>4</v>
      </c>
      <c r="J11" s="247">
        <f>IFERROR(((J6*1)+(J7*1))/J9,0)</f>
        <v>770.83333333333337</v>
      </c>
      <c r="K11" s="71"/>
      <c r="L11" s="18"/>
      <c r="M11" s="18"/>
      <c r="N11" s="18"/>
      <c r="O11" s="18"/>
    </row>
    <row r="12" spans="2:21" ht="25.5" customHeight="1" thickBot="1" x14ac:dyDescent="0.3">
      <c r="B12" s="69" t="s">
        <v>34</v>
      </c>
      <c r="C12" s="70" t="s">
        <v>15</v>
      </c>
      <c r="D12" s="78">
        <f>IFERROR('Mina Produktionsnyckeltal'!D9/'Mina Produktionsnyckeltal'!D6,0)</f>
        <v>0.52500000000000002</v>
      </c>
      <c r="E12" s="71"/>
      <c r="G12" s="87"/>
      <c r="H12" s="26"/>
      <c r="I12" s="27"/>
      <c r="J12" s="34"/>
      <c r="K12" s="36"/>
      <c r="L12" s="18"/>
      <c r="M12" s="18"/>
      <c r="N12" s="18"/>
      <c r="O12" s="18"/>
    </row>
    <row r="13" spans="2:21" ht="25.5" customHeight="1" thickBot="1" x14ac:dyDescent="0.4">
      <c r="B13" s="69" t="s">
        <v>159</v>
      </c>
      <c r="C13" s="70" t="s">
        <v>15</v>
      </c>
      <c r="D13" s="78">
        <f>IFERROR('Mina Produktionsnyckeltal'!D10/'Mina Produktionsnyckeltal'!D6,0)</f>
        <v>8.7499999999999994E-2</v>
      </c>
      <c r="E13" s="71"/>
      <c r="G13" s="87"/>
      <c r="H13" s="74" t="s">
        <v>49</v>
      </c>
      <c r="I13" s="27"/>
      <c r="J13" s="34"/>
      <c r="K13" s="36"/>
      <c r="L13" s="18"/>
      <c r="M13" s="18"/>
      <c r="N13" s="18"/>
      <c r="O13" s="18"/>
    </row>
    <row r="14" spans="2:21" ht="25.5" customHeight="1" thickBot="1" x14ac:dyDescent="0.3">
      <c r="B14" s="26"/>
      <c r="C14" s="34"/>
      <c r="D14" s="34"/>
      <c r="E14" s="26"/>
      <c r="G14" s="87"/>
      <c r="H14" s="69" t="s">
        <v>215</v>
      </c>
      <c r="I14" s="70" t="s">
        <v>119</v>
      </c>
      <c r="J14" s="205">
        <v>7400</v>
      </c>
      <c r="K14" s="71"/>
      <c r="L14" s="249">
        <f>J14/(J19*J17)</f>
        <v>1</v>
      </c>
      <c r="M14" s="18"/>
      <c r="N14" s="18"/>
      <c r="O14" s="18"/>
    </row>
    <row r="15" spans="2:21" ht="25.5" customHeight="1" thickBot="1" x14ac:dyDescent="0.4">
      <c r="B15" s="65" t="s">
        <v>138</v>
      </c>
      <c r="C15" s="27"/>
      <c r="D15" s="27"/>
      <c r="E15" s="26"/>
      <c r="G15" s="87"/>
      <c r="H15" s="69" t="s">
        <v>220</v>
      </c>
      <c r="I15" s="70" t="s">
        <v>119</v>
      </c>
      <c r="J15" s="205"/>
      <c r="K15" s="71"/>
      <c r="L15" s="249">
        <f>J15/(J19*J17)</f>
        <v>0</v>
      </c>
      <c r="M15" s="18"/>
      <c r="N15" s="18"/>
      <c r="O15" s="18"/>
    </row>
    <row r="16" spans="2:21" ht="25.5" customHeight="1" thickBot="1" x14ac:dyDescent="0.3">
      <c r="B16" s="69" t="s">
        <v>36</v>
      </c>
      <c r="C16" s="70" t="s">
        <v>13</v>
      </c>
      <c r="D16" s="205">
        <v>880</v>
      </c>
      <c r="E16" s="71"/>
      <c r="G16" s="87"/>
      <c r="H16" s="69" t="s">
        <v>217</v>
      </c>
      <c r="I16" s="70" t="s">
        <v>92</v>
      </c>
      <c r="J16" s="206">
        <v>2.5499999999999998</v>
      </c>
      <c r="K16" s="71"/>
      <c r="L16" s="67"/>
      <c r="M16" s="18"/>
      <c r="N16" s="18"/>
      <c r="O16" s="18"/>
    </row>
    <row r="17" spans="1:18" ht="25.5" customHeight="1" thickBot="1" x14ac:dyDescent="0.3">
      <c r="B17" s="69" t="s">
        <v>37</v>
      </c>
      <c r="C17" s="70" t="s">
        <v>13</v>
      </c>
      <c r="D17" s="205">
        <v>88</v>
      </c>
      <c r="E17" s="71"/>
      <c r="G17" s="87"/>
      <c r="H17" s="69" t="s">
        <v>218</v>
      </c>
      <c r="I17" s="70" t="s">
        <v>120</v>
      </c>
      <c r="J17" s="208">
        <v>9.4</v>
      </c>
      <c r="K17" s="71"/>
      <c r="L17" s="67"/>
      <c r="M17" s="18"/>
      <c r="N17" s="18"/>
      <c r="O17" s="18"/>
    </row>
    <row r="18" spans="1:18" ht="25.5" customHeight="1" thickBot="1" x14ac:dyDescent="0.3">
      <c r="B18" s="69" t="s">
        <v>14</v>
      </c>
      <c r="C18" s="70" t="s">
        <v>15</v>
      </c>
      <c r="D18" s="78">
        <f>IFERROR(('Mina Produktionsnyckeltal'!D17/'Mina Produktionsnyckeltal'!D16),0)</f>
        <v>0.1</v>
      </c>
      <c r="E18" s="76">
        <v>5.3999999999999999E-2</v>
      </c>
      <c r="G18" s="87"/>
      <c r="H18" s="242" t="s">
        <v>122</v>
      </c>
      <c r="I18" s="70" t="s">
        <v>121</v>
      </c>
      <c r="J18" s="210">
        <f>IFERROR((J16*100)/J17,0)</f>
        <v>27.12765957446808</v>
      </c>
      <c r="K18" s="71"/>
      <c r="L18" s="67"/>
      <c r="M18" s="18"/>
      <c r="N18" s="18"/>
      <c r="O18" s="18"/>
      <c r="Q18" s="55"/>
      <c r="R18" s="55"/>
    </row>
    <row r="19" spans="1:18" ht="25.5" customHeight="1" thickBot="1" x14ac:dyDescent="0.3">
      <c r="C19" s="1"/>
      <c r="G19" s="87"/>
      <c r="H19" s="69" t="s">
        <v>219</v>
      </c>
      <c r="I19" s="70" t="s">
        <v>4</v>
      </c>
      <c r="J19" s="92">
        <f>IFERROR(((J14*1)+(J15*1))/J17,0)</f>
        <v>787.23404255319144</v>
      </c>
      <c r="K19" s="71"/>
      <c r="L19" s="67"/>
      <c r="M19" s="18"/>
      <c r="N19" s="18"/>
      <c r="O19" s="18"/>
      <c r="P19" s="55"/>
      <c r="Q19" s="55"/>
      <c r="R19" s="55"/>
    </row>
    <row r="20" spans="1:18" ht="25.5" customHeight="1" thickBot="1" x14ac:dyDescent="0.4">
      <c r="B20" s="65" t="s">
        <v>39</v>
      </c>
      <c r="C20" s="27"/>
      <c r="D20" s="26"/>
      <c r="E20" s="26"/>
      <c r="G20" s="87"/>
      <c r="H20" s="83" t="s">
        <v>221</v>
      </c>
      <c r="I20" s="84" t="s">
        <v>119</v>
      </c>
      <c r="J20" s="86">
        <f>J6+J14</f>
        <v>14800</v>
      </c>
      <c r="K20" s="85">
        <v>14850</v>
      </c>
      <c r="L20" s="67"/>
      <c r="M20" s="18"/>
      <c r="N20" s="18"/>
      <c r="O20" s="18"/>
    </row>
    <row r="21" spans="1:18" ht="25.5" customHeight="1" thickBot="1" x14ac:dyDescent="0.3">
      <c r="B21" s="69" t="s">
        <v>108</v>
      </c>
      <c r="C21" s="70" t="s">
        <v>13</v>
      </c>
      <c r="D21" s="208">
        <v>15</v>
      </c>
      <c r="E21" s="79">
        <v>15</v>
      </c>
      <c r="G21" s="87"/>
      <c r="L21" s="67"/>
      <c r="M21" s="18"/>
      <c r="N21" s="18"/>
      <c r="O21" s="18"/>
    </row>
    <row r="22" spans="1:18" ht="25.5" customHeight="1" thickBot="1" x14ac:dyDescent="0.4">
      <c r="B22" s="69" t="s">
        <v>83</v>
      </c>
      <c r="C22" s="70" t="s">
        <v>13</v>
      </c>
      <c r="D22" s="208">
        <v>12.4</v>
      </c>
      <c r="E22" s="79">
        <v>12.4</v>
      </c>
      <c r="G22" s="87"/>
      <c r="H22" s="74" t="s">
        <v>140</v>
      </c>
      <c r="I22" s="27"/>
      <c r="J22" s="34"/>
      <c r="K22" s="21"/>
      <c r="L22" s="67"/>
      <c r="M22" s="18"/>
      <c r="N22" s="18"/>
      <c r="O22" s="18"/>
    </row>
    <row r="23" spans="1:18" ht="25.5" customHeight="1" thickBot="1" x14ac:dyDescent="0.3">
      <c r="B23" s="69" t="s">
        <v>130</v>
      </c>
      <c r="C23" s="70" t="s">
        <v>13</v>
      </c>
      <c r="D23" s="205">
        <v>11000</v>
      </c>
      <c r="E23" s="71"/>
      <c r="G23" s="87"/>
      <c r="H23" s="246" t="s">
        <v>222</v>
      </c>
      <c r="I23" s="70" t="s">
        <v>119</v>
      </c>
      <c r="J23" s="205">
        <v>90</v>
      </c>
      <c r="K23" s="71"/>
      <c r="L23" s="249">
        <f>J23/(J26*L28)</f>
        <v>1</v>
      </c>
      <c r="M23" s="18"/>
      <c r="N23" s="18"/>
      <c r="O23" s="18"/>
    </row>
    <row r="24" spans="1:18" s="15" customFormat="1" ht="25.5" customHeight="1" thickBot="1" x14ac:dyDescent="0.3">
      <c r="A24" s="33"/>
      <c r="B24" s="69" t="s">
        <v>75</v>
      </c>
      <c r="C24" s="70" t="s">
        <v>13</v>
      </c>
      <c r="D24" s="80">
        <f>IFERROR(D23/(D26*D6),0)</f>
        <v>12.276785714285714</v>
      </c>
      <c r="E24" s="71"/>
      <c r="G24" s="89"/>
      <c r="H24" s="246" t="s">
        <v>223</v>
      </c>
      <c r="I24" s="70" t="s">
        <v>119</v>
      </c>
      <c r="J24" s="205">
        <v>0</v>
      </c>
      <c r="K24" s="71"/>
      <c r="L24" s="249">
        <f>J24/(J26*L28)</f>
        <v>0</v>
      </c>
      <c r="M24" s="18"/>
      <c r="N24" s="18"/>
      <c r="O24" s="18"/>
    </row>
    <row r="25" spans="1:18" ht="25.5" customHeight="1" thickBot="1" x14ac:dyDescent="0.3">
      <c r="B25" s="69" t="s">
        <v>148</v>
      </c>
      <c r="C25" s="70" t="s">
        <v>13</v>
      </c>
      <c r="D25" s="80">
        <f>IFERROR('Mina Produktionsnyckeltal'!D23/'Mina Produktionsnyckeltal'!D6,0)</f>
        <v>27.5</v>
      </c>
      <c r="E25" s="79">
        <v>27.5</v>
      </c>
      <c r="F25" s="58"/>
      <c r="G25" s="87"/>
      <c r="H25" s="69" t="s">
        <v>217</v>
      </c>
      <c r="I25" s="70" t="s">
        <v>92</v>
      </c>
      <c r="J25" s="206">
        <v>5</v>
      </c>
      <c r="K25" s="71"/>
      <c r="L25" s="46"/>
      <c r="M25" s="18"/>
      <c r="N25" s="18"/>
    </row>
    <row r="26" spans="1:18" ht="25.5" customHeight="1" thickBot="1" x14ac:dyDescent="0.3">
      <c r="B26" s="69" t="s">
        <v>149</v>
      </c>
      <c r="C26" s="70" t="s">
        <v>13</v>
      </c>
      <c r="D26" s="248">
        <v>2.2400000000000002</v>
      </c>
      <c r="E26" s="190">
        <v>2.2400000000000002</v>
      </c>
      <c r="F26" s="58"/>
      <c r="G26" s="87"/>
      <c r="H26" s="69" t="s">
        <v>218</v>
      </c>
      <c r="I26" s="70" t="s">
        <v>120</v>
      </c>
      <c r="J26" s="208">
        <v>9.8000000000000007</v>
      </c>
      <c r="K26" s="71"/>
      <c r="L26" s="45"/>
      <c r="M26" s="18"/>
      <c r="N26" s="18"/>
    </row>
    <row r="27" spans="1:18" ht="25.5" customHeight="1" thickBot="1" x14ac:dyDescent="0.3">
      <c r="B27" s="320"/>
      <c r="C27" s="320"/>
      <c r="D27" s="320"/>
      <c r="E27" s="320"/>
      <c r="G27" s="87"/>
      <c r="H27" s="242" t="s">
        <v>122</v>
      </c>
      <c r="I27" s="70" t="s">
        <v>121</v>
      </c>
      <c r="J27" s="210">
        <f>IFERROR((J25*100)/J26,0)</f>
        <v>51.020408163265301</v>
      </c>
      <c r="K27" s="71"/>
      <c r="L27" s="45"/>
      <c r="M27" s="18"/>
      <c r="N27" s="18"/>
      <c r="O27" s="18"/>
    </row>
    <row r="28" spans="1:18" ht="25.5" customHeight="1" thickBot="1" x14ac:dyDescent="0.3">
      <c r="B28" s="68"/>
      <c r="C28" s="68"/>
      <c r="D28" s="68"/>
      <c r="E28" s="68"/>
      <c r="G28" s="87"/>
      <c r="H28" s="69" t="s">
        <v>219</v>
      </c>
      <c r="I28" s="70" t="s">
        <v>4</v>
      </c>
      <c r="J28" s="247">
        <f>IFERROR(L28*D25,0)</f>
        <v>252.55102040816325</v>
      </c>
      <c r="K28" s="71"/>
      <c r="L28" s="250">
        <f>((J23/J26)+(J24/J26))</f>
        <v>9.1836734693877542</v>
      </c>
      <c r="M28" s="18"/>
      <c r="N28" s="18"/>
      <c r="O28" s="18"/>
    </row>
    <row r="29" spans="1:18" ht="25.5" customHeight="1" thickBot="1" x14ac:dyDescent="0.4">
      <c r="B29" s="65" t="s">
        <v>151</v>
      </c>
      <c r="C29" s="27"/>
      <c r="D29" s="27"/>
      <c r="E29" s="26"/>
      <c r="G29" s="87"/>
      <c r="H29" s="26"/>
      <c r="I29" s="27"/>
      <c r="J29" s="27"/>
      <c r="K29" s="21"/>
      <c r="L29" s="67"/>
      <c r="M29" s="18"/>
      <c r="N29" s="18"/>
      <c r="O29" s="18"/>
    </row>
    <row r="30" spans="1:18" ht="25.5" customHeight="1" thickBot="1" x14ac:dyDescent="0.4">
      <c r="B30" s="69" t="s">
        <v>30</v>
      </c>
      <c r="C30" s="70" t="s">
        <v>12</v>
      </c>
      <c r="D30" s="209">
        <v>75</v>
      </c>
      <c r="E30" s="71"/>
      <c r="G30" s="90"/>
      <c r="H30" s="74" t="s">
        <v>141</v>
      </c>
      <c r="I30" s="27"/>
      <c r="J30" s="34"/>
      <c r="K30" s="21"/>
      <c r="L30" s="67"/>
      <c r="M30" s="18"/>
      <c r="N30" s="18"/>
      <c r="O30" s="18"/>
    </row>
    <row r="31" spans="1:18" ht="25.5" customHeight="1" thickBot="1" x14ac:dyDescent="0.3">
      <c r="B31" s="69" t="s">
        <v>10</v>
      </c>
      <c r="C31" s="70" t="s">
        <v>12</v>
      </c>
      <c r="D31" s="77">
        <f>IFERROR((('Mina Produktionsnyckeltal'!D30*LN((5.44-LN(30))/5.1))/LN((5.44-LN('Mina Produktionsnyckeltal'!D32))/5.1)),0)</f>
        <v>75</v>
      </c>
      <c r="E31" s="72">
        <v>77</v>
      </c>
      <c r="G31" s="87"/>
      <c r="H31" s="69" t="s">
        <v>222</v>
      </c>
      <c r="I31" s="70" t="s">
        <v>119</v>
      </c>
      <c r="J31" s="205">
        <v>300</v>
      </c>
      <c r="K31" s="71"/>
      <c r="L31" s="249">
        <f>J31/(J34*L36)</f>
        <v>1</v>
      </c>
      <c r="M31" s="18"/>
      <c r="N31" s="18"/>
      <c r="O31" s="18"/>
    </row>
    <row r="32" spans="1:18" ht="25.5" customHeight="1" thickBot="1" x14ac:dyDescent="0.3">
      <c r="B32" s="69" t="s">
        <v>41</v>
      </c>
      <c r="C32" s="70" t="s">
        <v>4</v>
      </c>
      <c r="D32" s="207">
        <v>30</v>
      </c>
      <c r="E32" s="81">
        <v>31.3</v>
      </c>
      <c r="G32" s="87"/>
      <c r="H32" s="69" t="s">
        <v>223</v>
      </c>
      <c r="I32" s="70" t="s">
        <v>119</v>
      </c>
      <c r="J32" s="205"/>
      <c r="K32" s="71"/>
      <c r="L32" s="249">
        <f>J32/(J34*L36)</f>
        <v>0</v>
      </c>
      <c r="M32" s="18"/>
      <c r="N32" s="18"/>
      <c r="O32" s="18"/>
    </row>
    <row r="33" spans="2:15" ht="25.5" customHeight="1" thickBot="1" x14ac:dyDescent="0.3">
      <c r="B33" s="26"/>
      <c r="C33" s="27"/>
      <c r="D33" s="26"/>
      <c r="E33" s="26"/>
      <c r="G33" s="87"/>
      <c r="H33" s="69" t="s">
        <v>217</v>
      </c>
      <c r="I33" s="70" t="s">
        <v>92</v>
      </c>
      <c r="J33" s="206">
        <v>4</v>
      </c>
      <c r="K33" s="251"/>
      <c r="L33" s="46"/>
      <c r="M33" s="18"/>
      <c r="N33" s="18"/>
      <c r="O33" s="18"/>
    </row>
    <row r="34" spans="2:15" ht="25.5" customHeight="1" thickBot="1" x14ac:dyDescent="0.4">
      <c r="B34" s="65" t="s">
        <v>40</v>
      </c>
      <c r="C34" s="27"/>
      <c r="D34" s="26"/>
      <c r="E34" s="21"/>
      <c r="G34" s="87"/>
      <c r="H34" s="69" t="s">
        <v>218</v>
      </c>
      <c r="I34" s="70" t="s">
        <v>120</v>
      </c>
      <c r="J34" s="208">
        <v>9.6999999999999993</v>
      </c>
      <c r="K34" s="251"/>
      <c r="L34" s="45"/>
      <c r="M34" s="18"/>
      <c r="N34" s="18"/>
      <c r="O34" s="18"/>
    </row>
    <row r="35" spans="2:15" ht="25.5" customHeight="1" thickBot="1" x14ac:dyDescent="0.3">
      <c r="B35" s="69" t="s">
        <v>160</v>
      </c>
      <c r="C35" s="70" t="s">
        <v>15</v>
      </c>
      <c r="D35" s="78">
        <f>IFERROR(((D21*D26*D6)-'Mina Produktionsnyckeltal'!D23)/(D21*D26*D6),0)</f>
        <v>0.18154761904761904</v>
      </c>
      <c r="E35" s="19"/>
      <c r="G35" s="87"/>
      <c r="H35" s="242" t="s">
        <v>122</v>
      </c>
      <c r="I35" s="70" t="s">
        <v>121</v>
      </c>
      <c r="J35" s="210">
        <f>IFERROR((J33*100)/J34,0)</f>
        <v>41.237113402061858</v>
      </c>
      <c r="K35" s="321" t="s">
        <v>123</v>
      </c>
      <c r="L35" s="45"/>
    </row>
    <row r="36" spans="2:15" ht="25.5" customHeight="1" thickBot="1" x14ac:dyDescent="0.3">
      <c r="B36" s="69" t="s">
        <v>161</v>
      </c>
      <c r="C36" s="70" t="s">
        <v>15</v>
      </c>
      <c r="D36" s="78">
        <f>IFERROR(((D21*D26*D6)-(D22*D26*D6))/(D21*D26*D6),0)</f>
        <v>0.17333333333333323</v>
      </c>
      <c r="E36" s="76">
        <v>0.17199999999999999</v>
      </c>
      <c r="G36" s="87"/>
      <c r="H36" s="69" t="s">
        <v>219</v>
      </c>
      <c r="I36" s="70" t="s">
        <v>4</v>
      </c>
      <c r="J36" s="252">
        <f>IFERROR(L36*D25,0)</f>
        <v>850.51546391752584</v>
      </c>
      <c r="K36" s="322"/>
      <c r="L36" s="250">
        <f>((J31/J34)+(J32/J34))</f>
        <v>30.927835051546396</v>
      </c>
    </row>
    <row r="37" spans="2:15" ht="25.5" customHeight="1" thickBot="1" x14ac:dyDescent="0.3">
      <c r="B37" s="69" t="s">
        <v>150</v>
      </c>
      <c r="C37" s="70" t="s">
        <v>15</v>
      </c>
      <c r="D37" s="78">
        <f>IFERROR(((D22*D26*D6)-D23)/(D22*D26*D6),0)</f>
        <v>9.9366359447005913E-3</v>
      </c>
      <c r="E37" s="76">
        <v>0.02</v>
      </c>
      <c r="G37" s="87"/>
      <c r="H37" s="69" t="s">
        <v>224</v>
      </c>
      <c r="I37" s="70" t="s">
        <v>119</v>
      </c>
      <c r="J37" s="253">
        <f>J23+J31</f>
        <v>390</v>
      </c>
      <c r="K37" s="192">
        <v>390</v>
      </c>
    </row>
    <row r="38" spans="2:15" ht="25.5" customHeight="1" x14ac:dyDescent="0.25">
      <c r="B38" s="26"/>
      <c r="C38" s="26"/>
      <c r="D38" s="26"/>
      <c r="E38" s="26"/>
      <c r="H38" s="319" t="s">
        <v>152</v>
      </c>
      <c r="I38" s="319"/>
      <c r="J38" s="319"/>
      <c r="K38" s="319"/>
      <c r="L38" s="18"/>
      <c r="M38" s="18"/>
      <c r="N38" s="18"/>
      <c r="O38" s="18"/>
    </row>
    <row r="39" spans="2:15" s="26" customFormat="1" ht="25.5" customHeight="1" x14ac:dyDescent="0.25">
      <c r="B39" s="1"/>
      <c r="C39" s="1"/>
      <c r="D39" s="1"/>
      <c r="E39" s="1"/>
      <c r="H39" s="319"/>
      <c r="I39" s="319"/>
      <c r="J39" s="319"/>
      <c r="K39" s="319"/>
      <c r="L39" s="18"/>
      <c r="M39" s="18"/>
      <c r="N39" s="18"/>
      <c r="O39" s="18"/>
    </row>
    <row r="40" spans="2:15" s="26" customFormat="1" ht="25.5" customHeight="1" x14ac:dyDescent="0.25">
      <c r="H40" s="319"/>
      <c r="I40" s="319"/>
      <c r="J40" s="319"/>
      <c r="K40" s="319"/>
      <c r="L40" s="18"/>
      <c r="M40" s="18"/>
      <c r="N40" s="18"/>
      <c r="O40" s="18"/>
    </row>
    <row r="41" spans="2:15" ht="25.5" customHeight="1" x14ac:dyDescent="0.25">
      <c r="B41" s="26"/>
      <c r="C41" s="26"/>
      <c r="D41" s="26"/>
      <c r="E41" s="26"/>
      <c r="L41" s="18"/>
      <c r="M41" s="18"/>
      <c r="N41" s="18"/>
    </row>
    <row r="42" spans="2:15" ht="25.5" customHeight="1" x14ac:dyDescent="0.25">
      <c r="C42" s="1"/>
      <c r="L42" s="18"/>
      <c r="M42" s="18"/>
      <c r="N42" s="18"/>
    </row>
    <row r="43" spans="2:15" ht="25.5" customHeight="1" x14ac:dyDescent="0.25">
      <c r="C43" s="1"/>
      <c r="L43" s="18"/>
      <c r="M43" s="18"/>
      <c r="N43" s="18"/>
    </row>
    <row r="44" spans="2:15" ht="23.25" customHeight="1" x14ac:dyDescent="0.25">
      <c r="C44" s="1"/>
      <c r="I44" s="18"/>
      <c r="J44" s="20"/>
      <c r="K44" s="18"/>
      <c r="L44" s="18"/>
      <c r="M44" s="18"/>
      <c r="N44" s="18"/>
      <c r="O44" s="18"/>
    </row>
    <row r="45" spans="2:15" ht="23.25" customHeight="1" x14ac:dyDescent="0.25">
      <c r="C45" s="1"/>
      <c r="I45" s="18"/>
      <c r="J45" s="20"/>
      <c r="K45" s="18"/>
      <c r="L45" s="18"/>
      <c r="M45" s="18"/>
      <c r="N45" s="18"/>
      <c r="O45" s="18"/>
    </row>
    <row r="46" spans="2:15" ht="23.25" customHeight="1" x14ac:dyDescent="0.25">
      <c r="C46" s="1"/>
      <c r="H46" s="18"/>
      <c r="I46" s="18"/>
      <c r="J46" s="18"/>
      <c r="K46" s="18"/>
      <c r="L46" s="18"/>
      <c r="M46" s="18"/>
      <c r="N46" s="18"/>
      <c r="O46" s="18"/>
    </row>
    <row r="47" spans="2:15" ht="12" customHeight="1" x14ac:dyDescent="0.25">
      <c r="C47" s="1"/>
      <c r="H47" s="18"/>
      <c r="I47" s="18"/>
      <c r="J47" s="18"/>
      <c r="K47" s="18"/>
      <c r="M47" s="18"/>
      <c r="N47" s="18"/>
      <c r="O47" s="18"/>
    </row>
    <row r="48" spans="2:15" s="26" customFormat="1" x14ac:dyDescent="0.25">
      <c r="B48" s="1"/>
      <c r="C48" s="1"/>
      <c r="D48" s="1"/>
      <c r="E48" s="1"/>
      <c r="H48" s="18"/>
      <c r="I48" s="18"/>
      <c r="J48" s="18"/>
      <c r="K48" s="18"/>
      <c r="M48" s="18"/>
      <c r="N48" s="18"/>
      <c r="O48" s="18"/>
    </row>
    <row r="49" spans="2:15" ht="23.25" customHeight="1" x14ac:dyDescent="0.25">
      <c r="B49" s="26"/>
      <c r="C49" s="26"/>
      <c r="D49" s="26"/>
      <c r="E49" s="26"/>
      <c r="H49" s="18"/>
      <c r="I49" s="18"/>
      <c r="J49" s="18"/>
      <c r="K49" s="18"/>
      <c r="M49" s="18"/>
      <c r="N49" s="18"/>
      <c r="O49" s="18"/>
    </row>
    <row r="50" spans="2:15" ht="23.25" customHeight="1" x14ac:dyDescent="0.25">
      <c r="C50" s="1"/>
      <c r="H50" s="18"/>
      <c r="I50" s="18"/>
      <c r="J50" s="18"/>
      <c r="K50" s="18"/>
      <c r="M50" s="18"/>
      <c r="N50" s="18"/>
      <c r="O50" s="18"/>
    </row>
    <row r="51" spans="2:15" ht="23.25" customHeight="1" x14ac:dyDescent="0.25">
      <c r="C51" s="1"/>
      <c r="H51" s="18"/>
      <c r="I51" s="18"/>
      <c r="J51" s="18"/>
      <c r="K51" s="18"/>
      <c r="M51" s="18"/>
      <c r="N51" s="18"/>
      <c r="O51" s="18"/>
    </row>
    <row r="52" spans="2:15" ht="23.25" customHeight="1" x14ac:dyDescent="0.25">
      <c r="C52" s="1"/>
      <c r="H52" s="18"/>
      <c r="I52" s="18"/>
      <c r="J52" s="18"/>
      <c r="K52" s="18"/>
      <c r="M52" s="18"/>
      <c r="N52" s="18"/>
      <c r="O52" s="18"/>
    </row>
    <row r="53" spans="2:15" ht="23.25" customHeight="1" x14ac:dyDescent="0.25">
      <c r="C53" s="1"/>
      <c r="H53" s="18"/>
      <c r="I53" s="18"/>
      <c r="J53" s="18"/>
      <c r="K53" s="18"/>
      <c r="M53" s="18"/>
      <c r="N53" s="18"/>
      <c r="O53" s="18"/>
    </row>
    <row r="54" spans="2:15" ht="23.25" customHeight="1" x14ac:dyDescent="0.25">
      <c r="C54" s="1"/>
      <c r="H54" s="18"/>
      <c r="I54" s="18"/>
      <c r="J54" s="18"/>
      <c r="K54" s="18"/>
      <c r="L54" s="18"/>
      <c r="M54" s="18"/>
      <c r="N54" s="18"/>
      <c r="O54" s="18"/>
    </row>
    <row r="55" spans="2:15" ht="3.75" customHeight="1" x14ac:dyDescent="0.25">
      <c r="C55" s="1"/>
      <c r="H55" s="18"/>
      <c r="I55" s="18"/>
      <c r="J55" s="18"/>
      <c r="K55" s="18"/>
      <c r="L55" s="18"/>
      <c r="M55" s="18"/>
      <c r="N55" s="18"/>
      <c r="O55" s="18"/>
    </row>
    <row r="56" spans="2:15" s="82" customFormat="1" ht="23.25" customHeight="1" x14ac:dyDescent="0.25">
      <c r="B56" s="1"/>
      <c r="C56" s="1"/>
      <c r="D56" s="1"/>
      <c r="E56" s="1"/>
      <c r="H56" s="44"/>
      <c r="I56" s="44"/>
      <c r="J56" s="44"/>
      <c r="K56" s="44"/>
      <c r="L56" s="44"/>
      <c r="M56" s="44"/>
      <c r="N56" s="44"/>
      <c r="O56" s="44"/>
    </row>
    <row r="57" spans="2:15" ht="21" customHeight="1" x14ac:dyDescent="0.25">
      <c r="B57" s="82"/>
      <c r="C57" s="82"/>
      <c r="D57" s="82"/>
      <c r="E57" s="82"/>
    </row>
    <row r="58" spans="2:15" s="26" customFormat="1" x14ac:dyDescent="0.25">
      <c r="B58" s="1"/>
      <c r="C58" s="1"/>
      <c r="D58" s="1"/>
      <c r="E58" s="1"/>
    </row>
    <row r="59" spans="2:15" ht="23.25" customHeight="1" x14ac:dyDescent="0.25">
      <c r="B59" s="26"/>
      <c r="C59" s="26"/>
      <c r="D59" s="26"/>
      <c r="E59" s="26"/>
    </row>
    <row r="60" spans="2:15" ht="23.25" customHeight="1" x14ac:dyDescent="0.25">
      <c r="C60" s="1"/>
    </row>
    <row r="61" spans="2:15" ht="23.25" customHeight="1" x14ac:dyDescent="0.25">
      <c r="C61" s="1"/>
    </row>
    <row r="62" spans="2:15" ht="23.25" customHeight="1" x14ac:dyDescent="0.25">
      <c r="C62" s="1"/>
    </row>
    <row r="63" spans="2:15" ht="23.25" customHeight="1" x14ac:dyDescent="0.25">
      <c r="C63" s="1"/>
    </row>
    <row r="64" spans="2:15" ht="23.25" customHeight="1" x14ac:dyDescent="0.25">
      <c r="C64" s="1"/>
    </row>
    <row r="65" spans="2:5" ht="27" customHeight="1" x14ac:dyDescent="0.25">
      <c r="C65" s="1"/>
    </row>
    <row r="66" spans="2:5" s="26" customFormat="1" x14ac:dyDescent="0.25">
      <c r="B66" s="1"/>
      <c r="C66" s="1"/>
      <c r="D66" s="1"/>
      <c r="E66" s="1"/>
    </row>
    <row r="67" spans="2:5" ht="23.25" customHeight="1" x14ac:dyDescent="0.25">
      <c r="B67" s="26"/>
      <c r="C67" s="26"/>
      <c r="D67" s="26"/>
      <c r="E67" s="26"/>
    </row>
    <row r="68" spans="2:5" ht="23.25" customHeight="1" x14ac:dyDescent="0.25">
      <c r="C68" s="1"/>
    </row>
    <row r="69" spans="2:5" ht="23.25" customHeight="1" x14ac:dyDescent="0.25">
      <c r="C69" s="1"/>
    </row>
    <row r="70" spans="2:5" ht="23.25" customHeight="1" x14ac:dyDescent="0.25">
      <c r="C70" s="1"/>
    </row>
    <row r="71" spans="2:5" ht="23.25" customHeight="1" x14ac:dyDescent="0.25">
      <c r="C71" s="1"/>
    </row>
    <row r="72" spans="2:5" ht="23.25" customHeight="1" x14ac:dyDescent="0.25">
      <c r="C72" s="1"/>
    </row>
    <row r="73" spans="2:5" x14ac:dyDescent="0.25">
      <c r="C73" s="1"/>
    </row>
    <row r="74" spans="2:5" s="26" customFormat="1" x14ac:dyDescent="0.25"/>
    <row r="75" spans="2:5" x14ac:dyDescent="0.25">
      <c r="B75" s="26"/>
      <c r="C75" s="27"/>
      <c r="D75" s="26"/>
      <c r="E75" s="26"/>
    </row>
  </sheetData>
  <sheetProtection algorithmName="SHA-512" hashValue="VC3zJrLre8e9IzoMnN+w9XIcDT6NXK2IKjLsrrPZBmsiysfUuHE8FDSvXFbDUWenTv3U+F/gWC5MB1Lsi7kf4Q==" saltValue="elBmJsFKZUua7FE92foqiA==" spinCount="100000" sheet="1" selectLockedCells="1"/>
  <mergeCells count="6">
    <mergeCell ref="C1:D1"/>
    <mergeCell ref="B3:E3"/>
    <mergeCell ref="H38:K40"/>
    <mergeCell ref="H3:K3"/>
    <mergeCell ref="B27:E27"/>
    <mergeCell ref="K35:K36"/>
  </mergeCells>
  <phoneticPr fontId="0" type="noConversion"/>
  <printOptions horizontalCentered="1"/>
  <pageMargins left="0.31496062992125984" right="0" top="0.35433070866141736" bottom="0.35433070866141736" header="0.31496062992125984" footer="0.70866141732283472"/>
  <pageSetup paperSize="9" fitToHeight="2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36"/>
    <pageSetUpPr fitToPage="1"/>
  </sheetPr>
  <dimension ref="B1:X47"/>
  <sheetViews>
    <sheetView zoomScale="90" zoomScaleNormal="90" workbookViewId="0">
      <pane ySplit="3" topLeftCell="A4" activePane="bottomLeft" state="frozen"/>
      <selection activeCell="R21" sqref="R21"/>
      <selection pane="bottomLeft" activeCell="L18" sqref="L18"/>
    </sheetView>
  </sheetViews>
  <sheetFormatPr defaultColWidth="9.140625" defaultRowHeight="15" x14ac:dyDescent="0.25"/>
  <cols>
    <col min="1" max="1" width="3.42578125" style="2" customWidth="1"/>
    <col min="2" max="2" width="27.28515625" style="2" customWidth="1"/>
    <col min="3" max="3" width="15.5703125" style="3" customWidth="1"/>
    <col min="4" max="4" width="3.85546875" style="3" customWidth="1"/>
    <col min="5" max="5" width="3.42578125" style="4" customWidth="1"/>
    <col min="6" max="6" width="25.42578125" style="2" customWidth="1"/>
    <col min="7" max="9" width="11.28515625" style="2" customWidth="1"/>
    <col min="10" max="10" width="5.7109375" style="2" customWidth="1"/>
    <col min="11" max="11" width="25.42578125" style="2" customWidth="1"/>
    <col min="12" max="14" width="11.28515625" style="2" customWidth="1"/>
    <col min="15" max="15" width="5.7109375" style="2" customWidth="1"/>
    <col min="16" max="16" width="21.85546875" style="2" customWidth="1"/>
    <col min="17" max="19" width="11.28515625" style="2" customWidth="1"/>
    <col min="20" max="20" width="5.7109375" style="2" customWidth="1"/>
    <col min="21" max="21" width="25.42578125" style="2" customWidth="1"/>
    <col min="22" max="24" width="11.28515625" style="2" customWidth="1"/>
    <col min="25" max="16384" width="9.140625" style="2"/>
  </cols>
  <sheetData>
    <row r="1" spans="2:24" s="60" customFormat="1" ht="30" customHeight="1" x14ac:dyDescent="0.25">
      <c r="C1" s="317"/>
      <c r="D1" s="317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2:24" ht="38.25" customHeight="1" x14ac:dyDescent="0.25">
      <c r="C2" s="2"/>
      <c r="D2" s="2"/>
      <c r="E2" s="2"/>
    </row>
    <row r="3" spans="2:24" ht="21" x14ac:dyDescent="0.35">
      <c r="B3" s="323" t="s">
        <v>143</v>
      </c>
      <c r="C3" s="323"/>
      <c r="D3" s="91"/>
      <c r="E3" s="97"/>
      <c r="F3" s="243" t="s">
        <v>144</v>
      </c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</row>
    <row r="4" spans="2:24" ht="72" customHeight="1" thickBot="1" x14ac:dyDescent="0.3">
      <c r="D4" s="91"/>
      <c r="E4" s="97"/>
    </row>
    <row r="5" spans="2:24" ht="25.5" customHeight="1" thickBot="1" x14ac:dyDescent="0.4">
      <c r="B5" s="91"/>
      <c r="C5" s="91"/>
      <c r="D5" s="91"/>
      <c r="E5" s="97"/>
      <c r="F5" s="100" t="s">
        <v>35</v>
      </c>
      <c r="G5" s="324" t="s">
        <v>125</v>
      </c>
      <c r="H5" s="325"/>
      <c r="I5" s="204">
        <v>9.5</v>
      </c>
      <c r="K5" s="100" t="s">
        <v>49</v>
      </c>
      <c r="L5" s="324" t="s">
        <v>125</v>
      </c>
      <c r="M5" s="325"/>
      <c r="N5" s="204">
        <v>9</v>
      </c>
      <c r="P5" s="100" t="s">
        <v>95</v>
      </c>
      <c r="Q5" s="324" t="s">
        <v>125</v>
      </c>
      <c r="R5" s="325"/>
      <c r="S5" s="204">
        <v>9</v>
      </c>
      <c r="U5" s="100" t="s">
        <v>96</v>
      </c>
      <c r="V5" s="324" t="s">
        <v>125</v>
      </c>
      <c r="W5" s="325"/>
      <c r="X5" s="204">
        <v>10.199999999999999</v>
      </c>
    </row>
    <row r="6" spans="2:24" ht="25.5" customHeight="1" thickBot="1" x14ac:dyDescent="0.3">
      <c r="B6" s="91"/>
      <c r="C6" s="91"/>
      <c r="D6" s="91"/>
      <c r="E6" s="97"/>
      <c r="F6" s="98"/>
      <c r="G6" s="324" t="s">
        <v>126</v>
      </c>
      <c r="H6" s="325"/>
      <c r="I6" s="205">
        <v>7400</v>
      </c>
      <c r="K6" s="98"/>
      <c r="L6" s="324" t="s">
        <v>128</v>
      </c>
      <c r="M6" s="325"/>
      <c r="N6" s="205">
        <v>7400</v>
      </c>
      <c r="P6" s="98"/>
      <c r="Q6" s="324" t="s">
        <v>127</v>
      </c>
      <c r="R6" s="325"/>
      <c r="S6" s="205">
        <v>90</v>
      </c>
      <c r="U6" s="98"/>
      <c r="V6" s="324" t="s">
        <v>127</v>
      </c>
      <c r="W6" s="325"/>
      <c r="X6" s="205">
        <v>300</v>
      </c>
    </row>
    <row r="7" spans="2:24" ht="25.5" customHeight="1" thickBot="1" x14ac:dyDescent="0.3">
      <c r="B7" s="91"/>
      <c r="C7" s="91"/>
      <c r="D7" s="91"/>
      <c r="E7" s="97"/>
      <c r="F7" s="98"/>
      <c r="G7" s="324" t="s">
        <v>124</v>
      </c>
      <c r="H7" s="325"/>
      <c r="I7" s="96">
        <f>IFERROR(I8/I5*100,0)</f>
        <v>33.157894736842117</v>
      </c>
      <c r="K7" s="98"/>
      <c r="L7" s="324" t="s">
        <v>124</v>
      </c>
      <c r="M7" s="325"/>
      <c r="N7" s="96">
        <f>IFERROR(N8/N5*100,0)</f>
        <v>23.05555555555555</v>
      </c>
      <c r="P7" s="98"/>
      <c r="Q7" s="324" t="s">
        <v>124</v>
      </c>
      <c r="R7" s="325"/>
      <c r="S7" s="96">
        <f>IFERROR(S8/S5*100,0)</f>
        <v>25.555555555555554</v>
      </c>
      <c r="U7" s="98"/>
      <c r="V7" s="324" t="s">
        <v>124</v>
      </c>
      <c r="W7" s="325"/>
      <c r="X7" s="96">
        <f>IFERROR(X8/X5*100,0)</f>
        <v>32.843137254901976</v>
      </c>
    </row>
    <row r="8" spans="2:24" ht="28.5" customHeight="1" thickBot="1" x14ac:dyDescent="0.3">
      <c r="C8" s="2"/>
      <c r="D8" s="91"/>
      <c r="E8" s="97"/>
      <c r="F8" s="99"/>
      <c r="G8" s="324" t="s">
        <v>50</v>
      </c>
      <c r="H8" s="325"/>
      <c r="I8" s="211">
        <f>IFERROR(I25/H25,0)</f>
        <v>3.1500000000000012</v>
      </c>
      <c r="K8" s="99"/>
      <c r="L8" s="324" t="s">
        <v>50</v>
      </c>
      <c r="M8" s="325"/>
      <c r="N8" s="211">
        <f>IFERROR(N25/M25,0)</f>
        <v>2.0749999999999997</v>
      </c>
      <c r="P8" s="99"/>
      <c r="Q8" s="324" t="s">
        <v>50</v>
      </c>
      <c r="R8" s="325"/>
      <c r="S8" s="211">
        <f>IFERROR(S25/R25,0)/'Mina Produktionsnyckeltal'!D25</f>
        <v>2.2999999999999998</v>
      </c>
      <c r="U8" s="99"/>
      <c r="V8" s="324" t="s">
        <v>50</v>
      </c>
      <c r="W8" s="325"/>
      <c r="X8" s="211">
        <f>IFERROR(X25/W25,0)/'Mina Produktionsnyckeltal'!D25</f>
        <v>3.3500000000000014</v>
      </c>
    </row>
    <row r="9" spans="2:24" ht="9" customHeight="1" x14ac:dyDescent="0.25">
      <c r="C9" s="2"/>
      <c r="D9" s="91"/>
      <c r="E9" s="97"/>
    </row>
    <row r="10" spans="2:24" ht="52.5" customHeight="1" thickBot="1" x14ac:dyDescent="0.4">
      <c r="B10" s="65" t="s">
        <v>86</v>
      </c>
      <c r="C10" s="66" t="s">
        <v>43</v>
      </c>
      <c r="D10" s="2"/>
      <c r="E10" s="97"/>
      <c r="F10" s="66" t="s">
        <v>51</v>
      </c>
      <c r="G10" s="66" t="s">
        <v>94</v>
      </c>
      <c r="H10" s="66" t="s">
        <v>90</v>
      </c>
      <c r="I10" s="66" t="s">
        <v>88</v>
      </c>
      <c r="K10" s="66" t="s">
        <v>51</v>
      </c>
      <c r="L10" s="66" t="s">
        <v>94</v>
      </c>
      <c r="M10" s="66" t="s">
        <v>87</v>
      </c>
      <c r="N10" s="66" t="s">
        <v>88</v>
      </c>
      <c r="P10" s="66" t="s">
        <v>51</v>
      </c>
      <c r="Q10" s="66" t="s">
        <v>94</v>
      </c>
      <c r="R10" s="66" t="s">
        <v>89</v>
      </c>
      <c r="S10" s="66" t="s">
        <v>88</v>
      </c>
      <c r="U10" s="66" t="s">
        <v>51</v>
      </c>
      <c r="V10" s="66" t="s">
        <v>94</v>
      </c>
      <c r="W10" s="66" t="s">
        <v>89</v>
      </c>
      <c r="X10" s="66" t="s">
        <v>88</v>
      </c>
    </row>
    <row r="11" spans="2:24" ht="24.95" customHeight="1" thickBot="1" x14ac:dyDescent="0.3">
      <c r="B11" s="217" t="s">
        <v>44</v>
      </c>
      <c r="C11" s="206">
        <v>2</v>
      </c>
      <c r="D11" s="2"/>
      <c r="E11" s="97"/>
      <c r="F11" s="69" t="str">
        <f t="shared" ref="F11:F13" si="0">B11</f>
        <v>Vete</v>
      </c>
      <c r="G11" s="207">
        <v>20</v>
      </c>
      <c r="H11" s="92">
        <f>IFERROR((G11/100)*(I$6/I$5),0)</f>
        <v>155.78947368421052</v>
      </c>
      <c r="I11" s="93">
        <f t="shared" ref="I11:I24" si="1">H11*C11</f>
        <v>311.57894736842104</v>
      </c>
      <c r="K11" s="69" t="str">
        <f t="shared" ref="K11:K13" si="2">B11</f>
        <v>Vete</v>
      </c>
      <c r="L11" s="207">
        <v>20</v>
      </c>
      <c r="M11" s="92">
        <f t="shared" ref="M11:M24" si="3">IFERROR((L11/100)*(N$6/N$5),0)</f>
        <v>164.44444444444446</v>
      </c>
      <c r="N11" s="93">
        <f t="shared" ref="N11:N24" si="4">M11*C11</f>
        <v>328.88888888888891</v>
      </c>
      <c r="P11" s="69" t="str">
        <f t="shared" ref="P11:P13" si="5">B11</f>
        <v>Vete</v>
      </c>
      <c r="Q11" s="207">
        <v>50</v>
      </c>
      <c r="R11" s="92">
        <f>IFERROR((Q11/100)*(S$6/S$5),0)</f>
        <v>5</v>
      </c>
      <c r="S11" s="93">
        <f>(R11*C11)*'Mina Produktionsnyckeltal'!$D$25</f>
        <v>275</v>
      </c>
      <c r="U11" s="69" t="str">
        <f t="shared" ref="U11:U13" si="6">B11</f>
        <v>Vete</v>
      </c>
      <c r="V11" s="207">
        <v>10</v>
      </c>
      <c r="W11" s="92">
        <f>IFERROR((V11/100)*(X$6/X$5),0)</f>
        <v>2.9411764705882355</v>
      </c>
      <c r="X11" s="93">
        <f>(W11*C11)*'Mina Produktionsnyckeltal'!$D$25</f>
        <v>161.76470588235296</v>
      </c>
    </row>
    <row r="12" spans="2:24" ht="25.5" customHeight="1" thickBot="1" x14ac:dyDescent="0.3">
      <c r="B12" s="217" t="s">
        <v>45</v>
      </c>
      <c r="C12" s="206">
        <v>2</v>
      </c>
      <c r="D12" s="2"/>
      <c r="E12" s="97"/>
      <c r="F12" s="69" t="str">
        <f t="shared" si="0"/>
        <v>Korn</v>
      </c>
      <c r="G12" s="207">
        <v>20</v>
      </c>
      <c r="H12" s="92">
        <f t="shared" ref="H12:H24" si="7">IFERROR((G12/100)*(I$6/I$5),0)</f>
        <v>155.78947368421052</v>
      </c>
      <c r="I12" s="93">
        <f t="shared" si="1"/>
        <v>311.57894736842104</v>
      </c>
      <c r="K12" s="69" t="str">
        <f t="shared" si="2"/>
        <v>Korn</v>
      </c>
      <c r="L12" s="207">
        <v>20</v>
      </c>
      <c r="M12" s="92">
        <f t="shared" si="3"/>
        <v>164.44444444444446</v>
      </c>
      <c r="N12" s="93">
        <f t="shared" si="4"/>
        <v>328.88888888888891</v>
      </c>
      <c r="P12" s="69" t="str">
        <f t="shared" si="5"/>
        <v>Korn</v>
      </c>
      <c r="Q12" s="207">
        <v>25</v>
      </c>
      <c r="R12" s="92">
        <f t="shared" ref="R12:R24" si="8">IFERROR((Q12/100)*(S$6/S$5),0)</f>
        <v>2.5</v>
      </c>
      <c r="S12" s="93">
        <f>(R12*C12)*'Mina Produktionsnyckeltal'!$D$25</f>
        <v>137.5</v>
      </c>
      <c r="U12" s="69" t="str">
        <f t="shared" si="6"/>
        <v>Korn</v>
      </c>
      <c r="V12" s="207">
        <v>10</v>
      </c>
      <c r="W12" s="92">
        <f t="shared" ref="W12:W24" si="9">IFERROR((V12/100)*(X$6/X$5),0)</f>
        <v>2.9411764705882355</v>
      </c>
      <c r="X12" s="93">
        <f>(W12*C12)*'Mina Produktionsnyckeltal'!$D$25</f>
        <v>161.76470588235296</v>
      </c>
    </row>
    <row r="13" spans="2:24" ht="25.5" customHeight="1" thickBot="1" x14ac:dyDescent="0.3">
      <c r="B13" s="217" t="s">
        <v>46</v>
      </c>
      <c r="C13" s="206">
        <v>1.5</v>
      </c>
      <c r="D13" s="2"/>
      <c r="E13" s="97"/>
      <c r="F13" s="69" t="str">
        <f t="shared" si="0"/>
        <v>Havre</v>
      </c>
      <c r="G13" s="207">
        <v>10</v>
      </c>
      <c r="H13" s="92">
        <f t="shared" si="7"/>
        <v>77.89473684210526</v>
      </c>
      <c r="I13" s="93">
        <f t="shared" si="1"/>
        <v>116.84210526315789</v>
      </c>
      <c r="K13" s="69" t="str">
        <f t="shared" si="2"/>
        <v>Havre</v>
      </c>
      <c r="L13" s="207">
        <v>15</v>
      </c>
      <c r="M13" s="92">
        <f t="shared" si="3"/>
        <v>123.33333333333331</v>
      </c>
      <c r="N13" s="93">
        <f t="shared" si="4"/>
        <v>184.99999999999997</v>
      </c>
      <c r="P13" s="69" t="str">
        <f t="shared" si="5"/>
        <v>Havre</v>
      </c>
      <c r="Q13" s="207">
        <v>0</v>
      </c>
      <c r="R13" s="92">
        <f t="shared" si="8"/>
        <v>0</v>
      </c>
      <c r="S13" s="93">
        <f>(R13*C13)*'Mina Produktionsnyckeltal'!$D$25</f>
        <v>0</v>
      </c>
      <c r="U13" s="69" t="str">
        <f t="shared" si="6"/>
        <v>Havre</v>
      </c>
      <c r="V13" s="207">
        <v>10</v>
      </c>
      <c r="W13" s="92">
        <f t="shared" si="9"/>
        <v>2.9411764705882355</v>
      </c>
      <c r="X13" s="93">
        <f>(W13*C13)*'Mina Produktionsnyckeltal'!$D$25</f>
        <v>121.32352941176471</v>
      </c>
    </row>
    <row r="14" spans="2:24" ht="25.5" customHeight="1" thickBot="1" x14ac:dyDescent="0.3">
      <c r="B14" s="217" t="s">
        <v>47</v>
      </c>
      <c r="C14" s="206">
        <v>3</v>
      </c>
      <c r="D14" s="2"/>
      <c r="E14" s="97"/>
      <c r="F14" s="69" t="str">
        <f>B14</f>
        <v>Koncentrat Dräktighet</v>
      </c>
      <c r="G14" s="207">
        <v>15</v>
      </c>
      <c r="H14" s="92">
        <f t="shared" si="7"/>
        <v>116.84210526315789</v>
      </c>
      <c r="I14" s="93">
        <f t="shared" si="1"/>
        <v>350.52631578947364</v>
      </c>
      <c r="K14" s="69" t="str">
        <f>B15</f>
        <v>Koncentrat Digivning</v>
      </c>
      <c r="L14" s="207">
        <v>15</v>
      </c>
      <c r="M14" s="92">
        <f t="shared" si="3"/>
        <v>123.33333333333331</v>
      </c>
      <c r="N14" s="93">
        <f t="shared" si="4"/>
        <v>369.99999999999994</v>
      </c>
      <c r="P14" s="69" t="str">
        <f>B16</f>
        <v>Koncentrat Smågris</v>
      </c>
      <c r="Q14" s="207">
        <v>10</v>
      </c>
      <c r="R14" s="92">
        <f t="shared" si="8"/>
        <v>1</v>
      </c>
      <c r="S14" s="93">
        <f>(R14*C14)*'Mina Produktionsnyckeltal'!$D$25</f>
        <v>82.5</v>
      </c>
      <c r="U14" s="69" t="str">
        <f t="shared" ref="U14:U24" si="10">B17</f>
        <v>Koncentrat Tillväxt</v>
      </c>
      <c r="V14" s="207">
        <v>10</v>
      </c>
      <c r="W14" s="92">
        <f t="shared" si="9"/>
        <v>2.9411764705882355</v>
      </c>
      <c r="X14" s="93">
        <f>(W14*C14)*'Mina Produktionsnyckeltal'!$D$25</f>
        <v>242.64705882352942</v>
      </c>
    </row>
    <row r="15" spans="2:24" ht="25.5" customHeight="1" thickBot="1" x14ac:dyDescent="0.3">
      <c r="B15" s="217" t="s">
        <v>48</v>
      </c>
      <c r="C15" s="206">
        <v>5</v>
      </c>
      <c r="D15" s="2"/>
      <c r="E15" s="97"/>
      <c r="F15" s="69" t="str">
        <f t="shared" ref="F15:F24" si="11">B18</f>
        <v>ärtor</v>
      </c>
      <c r="G15" s="207">
        <v>10</v>
      </c>
      <c r="H15" s="92">
        <f t="shared" si="7"/>
        <v>77.89473684210526</v>
      </c>
      <c r="I15" s="93">
        <f t="shared" si="1"/>
        <v>389.4736842105263</v>
      </c>
      <c r="K15" s="69" t="str">
        <f t="shared" ref="K15:K24" si="12">B18</f>
        <v>ärtor</v>
      </c>
      <c r="L15" s="207">
        <v>0</v>
      </c>
      <c r="M15" s="92">
        <f t="shared" si="3"/>
        <v>0</v>
      </c>
      <c r="N15" s="93">
        <f t="shared" si="4"/>
        <v>0</v>
      </c>
      <c r="P15" s="69" t="str">
        <f t="shared" ref="P15:P24" si="13">B18</f>
        <v>ärtor</v>
      </c>
      <c r="Q15" s="207">
        <v>0</v>
      </c>
      <c r="R15" s="92">
        <f t="shared" si="8"/>
        <v>0</v>
      </c>
      <c r="S15" s="93">
        <f>(R15*C15)*'Mina Produktionsnyckeltal'!$D$25</f>
        <v>0</v>
      </c>
      <c r="U15" s="69" t="str">
        <f t="shared" si="10"/>
        <v>ärtor</v>
      </c>
      <c r="V15" s="207">
        <v>10</v>
      </c>
      <c r="W15" s="92">
        <f t="shared" si="9"/>
        <v>2.9411764705882355</v>
      </c>
      <c r="X15" s="93">
        <f>(W15*C15)*'Mina Produktionsnyckeltal'!$D$25</f>
        <v>404.41176470588238</v>
      </c>
    </row>
    <row r="16" spans="2:24" ht="25.5" customHeight="1" thickBot="1" x14ac:dyDescent="0.3">
      <c r="B16" s="217" t="s">
        <v>74</v>
      </c>
      <c r="C16" s="206">
        <v>7</v>
      </c>
      <c r="D16" s="2"/>
      <c r="E16" s="97"/>
      <c r="F16" s="69" t="str">
        <f t="shared" si="11"/>
        <v>åkerbönor</v>
      </c>
      <c r="G16" s="207">
        <v>10</v>
      </c>
      <c r="H16" s="92">
        <f t="shared" si="7"/>
        <v>77.89473684210526</v>
      </c>
      <c r="I16" s="93">
        <f t="shared" si="1"/>
        <v>545.26315789473688</v>
      </c>
      <c r="K16" s="69" t="str">
        <f t="shared" si="12"/>
        <v>åkerbönor</v>
      </c>
      <c r="L16" s="207">
        <v>0</v>
      </c>
      <c r="M16" s="92">
        <f t="shared" si="3"/>
        <v>0</v>
      </c>
      <c r="N16" s="93">
        <f t="shared" si="4"/>
        <v>0</v>
      </c>
      <c r="P16" s="69" t="str">
        <f t="shared" si="13"/>
        <v>åkerbönor</v>
      </c>
      <c r="Q16" s="207">
        <v>0</v>
      </c>
      <c r="R16" s="92">
        <f t="shared" si="8"/>
        <v>0</v>
      </c>
      <c r="S16" s="93">
        <f>(R16*C16)*'Mina Produktionsnyckeltal'!$D$25</f>
        <v>0</v>
      </c>
      <c r="U16" s="69" t="str">
        <f t="shared" si="10"/>
        <v>åkerbönor</v>
      </c>
      <c r="V16" s="207">
        <v>10</v>
      </c>
      <c r="W16" s="92">
        <f t="shared" si="9"/>
        <v>2.9411764705882355</v>
      </c>
      <c r="X16" s="93">
        <f>(W16*C16)*'Mina Produktionsnyckeltal'!$D$25</f>
        <v>566.17647058823536</v>
      </c>
    </row>
    <row r="17" spans="2:24" ht="25.5" customHeight="1" thickBot="1" x14ac:dyDescent="0.3">
      <c r="B17" s="217" t="s">
        <v>202</v>
      </c>
      <c r="C17" s="206">
        <v>5</v>
      </c>
      <c r="D17" s="2"/>
      <c r="E17" s="97"/>
      <c r="F17" s="69" t="str">
        <f t="shared" si="11"/>
        <v>soja</v>
      </c>
      <c r="G17" s="207">
        <v>10</v>
      </c>
      <c r="H17" s="92">
        <f t="shared" si="7"/>
        <v>77.89473684210526</v>
      </c>
      <c r="I17" s="93">
        <f t="shared" si="1"/>
        <v>389.4736842105263</v>
      </c>
      <c r="K17" s="69" t="str">
        <f t="shared" si="12"/>
        <v>soja</v>
      </c>
      <c r="L17" s="207">
        <v>0</v>
      </c>
      <c r="M17" s="92">
        <f t="shared" si="3"/>
        <v>0</v>
      </c>
      <c r="N17" s="93">
        <f t="shared" si="4"/>
        <v>0</v>
      </c>
      <c r="P17" s="69" t="str">
        <f t="shared" si="13"/>
        <v>soja</v>
      </c>
      <c r="Q17" s="207">
        <v>0</v>
      </c>
      <c r="R17" s="92">
        <f t="shared" si="8"/>
        <v>0</v>
      </c>
      <c r="S17" s="93">
        <f>(R17*C17)*'Mina Produktionsnyckeltal'!$D$25</f>
        <v>0</v>
      </c>
      <c r="U17" s="69" t="str">
        <f t="shared" si="10"/>
        <v>soja</v>
      </c>
      <c r="V17" s="207">
        <v>10</v>
      </c>
      <c r="W17" s="92">
        <f t="shared" si="9"/>
        <v>2.9411764705882355</v>
      </c>
      <c r="X17" s="93">
        <f>(W17*C17)*'Mina Produktionsnyckeltal'!$D$25</f>
        <v>404.41176470588238</v>
      </c>
    </row>
    <row r="18" spans="2:24" ht="25.5" customHeight="1" thickBot="1" x14ac:dyDescent="0.3">
      <c r="B18" s="217" t="s">
        <v>203</v>
      </c>
      <c r="C18" s="206">
        <v>1</v>
      </c>
      <c r="D18" s="2"/>
      <c r="E18" s="97"/>
      <c r="F18" s="69" t="str">
        <f t="shared" si="11"/>
        <v>drank</v>
      </c>
      <c r="G18" s="207">
        <v>5</v>
      </c>
      <c r="H18" s="92">
        <f t="shared" si="7"/>
        <v>38.94736842105263</v>
      </c>
      <c r="I18" s="93">
        <f t="shared" si="1"/>
        <v>38.94736842105263</v>
      </c>
      <c r="K18" s="69" t="str">
        <f t="shared" si="12"/>
        <v>drank</v>
      </c>
      <c r="L18" s="207">
        <v>0</v>
      </c>
      <c r="M18" s="92">
        <f t="shared" si="3"/>
        <v>0</v>
      </c>
      <c r="N18" s="93">
        <f t="shared" si="4"/>
        <v>0</v>
      </c>
      <c r="P18" s="69" t="str">
        <f t="shared" si="13"/>
        <v>drank</v>
      </c>
      <c r="Q18" s="207">
        <v>0</v>
      </c>
      <c r="R18" s="92">
        <f t="shared" si="8"/>
        <v>0</v>
      </c>
      <c r="S18" s="93">
        <f>(R18*C18)*'Mina Produktionsnyckeltal'!$D$25</f>
        <v>0</v>
      </c>
      <c r="U18" s="69" t="str">
        <f t="shared" si="10"/>
        <v>drank</v>
      </c>
      <c r="V18" s="207">
        <v>0</v>
      </c>
      <c r="W18" s="92">
        <f t="shared" si="9"/>
        <v>0</v>
      </c>
      <c r="X18" s="93">
        <f>(W18*C18)*'Mina Produktionsnyckeltal'!$D$25</f>
        <v>0</v>
      </c>
    </row>
    <row r="19" spans="2:24" ht="25.5" customHeight="1" thickBot="1" x14ac:dyDescent="0.3">
      <c r="B19" s="217" t="s">
        <v>204</v>
      </c>
      <c r="C19" s="206">
        <v>2</v>
      </c>
      <c r="D19" s="2"/>
      <c r="E19" s="97"/>
      <c r="F19" s="69" t="str">
        <f t="shared" si="11"/>
        <v>vassle</v>
      </c>
      <c r="G19" s="207">
        <v>0</v>
      </c>
      <c r="H19" s="92">
        <f t="shared" si="7"/>
        <v>0</v>
      </c>
      <c r="I19" s="93">
        <f t="shared" si="1"/>
        <v>0</v>
      </c>
      <c r="K19" s="69" t="str">
        <f t="shared" si="12"/>
        <v>vassle</v>
      </c>
      <c r="L19" s="207">
        <v>10</v>
      </c>
      <c r="M19" s="92">
        <f t="shared" si="3"/>
        <v>82.222222222222229</v>
      </c>
      <c r="N19" s="93">
        <f t="shared" si="4"/>
        <v>164.44444444444446</v>
      </c>
      <c r="P19" s="69" t="str">
        <f t="shared" si="13"/>
        <v>vassle</v>
      </c>
      <c r="Q19" s="207">
        <v>0</v>
      </c>
      <c r="R19" s="92">
        <f t="shared" si="8"/>
        <v>0</v>
      </c>
      <c r="S19" s="93">
        <f>(R19*C19)*'Mina Produktionsnyckeltal'!$D$25</f>
        <v>0</v>
      </c>
      <c r="U19" s="69" t="str">
        <f t="shared" si="10"/>
        <v>vassle</v>
      </c>
      <c r="V19" s="207">
        <v>0</v>
      </c>
      <c r="W19" s="92">
        <f t="shared" si="9"/>
        <v>0</v>
      </c>
      <c r="X19" s="93">
        <f>(W19*C19)*'Mina Produktionsnyckeltal'!$D$25</f>
        <v>0</v>
      </c>
    </row>
    <row r="20" spans="2:24" ht="25.5" customHeight="1" thickBot="1" x14ac:dyDescent="0.3">
      <c r="B20" s="217" t="s">
        <v>205</v>
      </c>
      <c r="C20" s="206">
        <v>2</v>
      </c>
      <c r="D20" s="2"/>
      <c r="E20" s="97"/>
      <c r="F20" s="69" t="str">
        <f t="shared" si="11"/>
        <v>jäst</v>
      </c>
      <c r="G20" s="207">
        <v>0</v>
      </c>
      <c r="H20" s="92">
        <f t="shared" si="7"/>
        <v>0</v>
      </c>
      <c r="I20" s="93">
        <f t="shared" si="1"/>
        <v>0</v>
      </c>
      <c r="K20" s="69" t="str">
        <f t="shared" si="12"/>
        <v>jäst</v>
      </c>
      <c r="L20" s="207">
        <v>10</v>
      </c>
      <c r="M20" s="92">
        <f t="shared" si="3"/>
        <v>82.222222222222229</v>
      </c>
      <c r="N20" s="93">
        <f t="shared" si="4"/>
        <v>164.44444444444446</v>
      </c>
      <c r="P20" s="69" t="str">
        <f t="shared" si="13"/>
        <v>jäst</v>
      </c>
      <c r="Q20" s="207">
        <v>0</v>
      </c>
      <c r="R20" s="92">
        <f t="shared" si="8"/>
        <v>0</v>
      </c>
      <c r="S20" s="93">
        <f>(R20*C20)*'Mina Produktionsnyckeltal'!$D$25</f>
        <v>0</v>
      </c>
      <c r="U20" s="69" t="str">
        <f t="shared" si="10"/>
        <v>jäst</v>
      </c>
      <c r="V20" s="207">
        <v>10</v>
      </c>
      <c r="W20" s="92">
        <f t="shared" si="9"/>
        <v>2.9411764705882355</v>
      </c>
      <c r="X20" s="93">
        <f>(W20*C20)*'Mina Produktionsnyckeltal'!$D$25</f>
        <v>161.76470588235296</v>
      </c>
    </row>
    <row r="21" spans="2:24" ht="25.5" customHeight="1" thickBot="1" x14ac:dyDescent="0.3">
      <c r="B21" s="217" t="s">
        <v>206</v>
      </c>
      <c r="C21" s="206">
        <v>2</v>
      </c>
      <c r="D21" s="2"/>
      <c r="E21" s="97"/>
      <c r="F21" s="69" t="str">
        <f t="shared" si="11"/>
        <v>drav</v>
      </c>
      <c r="G21" s="207">
        <v>0</v>
      </c>
      <c r="H21" s="92">
        <f t="shared" si="7"/>
        <v>0</v>
      </c>
      <c r="I21" s="93">
        <f t="shared" si="1"/>
        <v>0</v>
      </c>
      <c r="K21" s="69" t="str">
        <f t="shared" si="12"/>
        <v>drav</v>
      </c>
      <c r="L21" s="207">
        <v>10</v>
      </c>
      <c r="M21" s="92">
        <f t="shared" si="3"/>
        <v>82.222222222222229</v>
      </c>
      <c r="N21" s="93">
        <f t="shared" si="4"/>
        <v>164.44444444444446</v>
      </c>
      <c r="P21" s="69" t="str">
        <f t="shared" si="13"/>
        <v>drav</v>
      </c>
      <c r="Q21" s="207">
        <v>0</v>
      </c>
      <c r="R21" s="92">
        <f t="shared" si="8"/>
        <v>0</v>
      </c>
      <c r="S21" s="93">
        <f>(R21*C21)*'Mina Produktionsnyckeltal'!$D$25</f>
        <v>0</v>
      </c>
      <c r="U21" s="69" t="str">
        <f t="shared" si="10"/>
        <v>drav</v>
      </c>
      <c r="V21" s="207">
        <v>5</v>
      </c>
      <c r="W21" s="92">
        <f t="shared" si="9"/>
        <v>1.4705882352941178</v>
      </c>
      <c r="X21" s="93">
        <f>(W21*C21)*'Mina Produktionsnyckeltal'!$D$25</f>
        <v>80.882352941176478</v>
      </c>
    </row>
    <row r="22" spans="2:24" ht="25.5" customHeight="1" thickBot="1" x14ac:dyDescent="0.3">
      <c r="B22" s="217" t="s">
        <v>207</v>
      </c>
      <c r="C22" s="206">
        <v>3</v>
      </c>
      <c r="D22" s="2"/>
      <c r="E22" s="97"/>
      <c r="F22" s="69" t="str">
        <f t="shared" si="11"/>
        <v>rågvete</v>
      </c>
      <c r="G22" s="207">
        <v>0</v>
      </c>
      <c r="H22" s="92">
        <f t="shared" si="7"/>
        <v>0</v>
      </c>
      <c r="I22" s="93">
        <f t="shared" si="1"/>
        <v>0</v>
      </c>
      <c r="K22" s="69" t="str">
        <f t="shared" si="12"/>
        <v>rågvete</v>
      </c>
      <c r="L22" s="207">
        <v>0</v>
      </c>
      <c r="M22" s="92">
        <f t="shared" si="3"/>
        <v>0</v>
      </c>
      <c r="N22" s="93">
        <f t="shared" si="4"/>
        <v>0</v>
      </c>
      <c r="P22" s="69" t="str">
        <f t="shared" si="13"/>
        <v>rågvete</v>
      </c>
      <c r="Q22" s="207">
        <v>5</v>
      </c>
      <c r="R22" s="92">
        <f t="shared" si="8"/>
        <v>0.5</v>
      </c>
      <c r="S22" s="93">
        <f>(R22*C22)*'Mina Produktionsnyckeltal'!$D$25</f>
        <v>41.25</v>
      </c>
      <c r="U22" s="69" t="str">
        <f t="shared" si="10"/>
        <v>rågvete</v>
      </c>
      <c r="V22" s="207">
        <v>5</v>
      </c>
      <c r="W22" s="92">
        <f t="shared" si="9"/>
        <v>1.4705882352941178</v>
      </c>
      <c r="X22" s="93">
        <f>(W22*C22)*'Mina Produktionsnyckeltal'!$D$25</f>
        <v>121.32352941176471</v>
      </c>
    </row>
    <row r="23" spans="2:24" ht="25.5" customHeight="1" thickBot="1" x14ac:dyDescent="0.3">
      <c r="B23" s="217" t="s">
        <v>208</v>
      </c>
      <c r="C23" s="206">
        <v>3</v>
      </c>
      <c r="D23" s="2"/>
      <c r="E23" s="97"/>
      <c r="F23" s="69" t="str">
        <f t="shared" si="11"/>
        <v>lupin</v>
      </c>
      <c r="G23" s="207">
        <v>0</v>
      </c>
      <c r="H23" s="92">
        <f t="shared" si="7"/>
        <v>0</v>
      </c>
      <c r="I23" s="93">
        <f t="shared" si="1"/>
        <v>0</v>
      </c>
      <c r="K23" s="69" t="str">
        <f t="shared" si="12"/>
        <v>lupin</v>
      </c>
      <c r="L23" s="207">
        <v>0</v>
      </c>
      <c r="M23" s="92">
        <f t="shared" si="3"/>
        <v>0</v>
      </c>
      <c r="N23" s="93">
        <f t="shared" si="4"/>
        <v>0</v>
      </c>
      <c r="P23" s="69" t="str">
        <f t="shared" si="13"/>
        <v>lupin</v>
      </c>
      <c r="Q23" s="207">
        <v>5</v>
      </c>
      <c r="R23" s="92">
        <f t="shared" si="8"/>
        <v>0.5</v>
      </c>
      <c r="S23" s="93">
        <f>(R23*C23)*'Mina Produktionsnyckeltal'!$D$25</f>
        <v>41.25</v>
      </c>
      <c r="U23" s="69" t="str">
        <f t="shared" si="10"/>
        <v>lupin</v>
      </c>
      <c r="V23" s="207">
        <v>5</v>
      </c>
      <c r="W23" s="92">
        <f t="shared" si="9"/>
        <v>1.4705882352941178</v>
      </c>
      <c r="X23" s="93">
        <f>(W23*C23)*'Mina Produktionsnyckeltal'!$D$25</f>
        <v>121.32352941176471</v>
      </c>
    </row>
    <row r="24" spans="2:24" ht="25.5" customHeight="1" thickBot="1" x14ac:dyDescent="0.3">
      <c r="B24" s="217" t="s">
        <v>209</v>
      </c>
      <c r="C24" s="206">
        <v>4</v>
      </c>
      <c r="D24" s="2"/>
      <c r="E24" s="97"/>
      <c r="F24" s="69" t="str">
        <f t="shared" si="11"/>
        <v>vetefodermjöl</v>
      </c>
      <c r="G24" s="207">
        <v>0</v>
      </c>
      <c r="H24" s="92">
        <f t="shared" si="7"/>
        <v>0</v>
      </c>
      <c r="I24" s="93">
        <f t="shared" si="1"/>
        <v>0</v>
      </c>
      <c r="K24" s="69" t="str">
        <f t="shared" si="12"/>
        <v>vetefodermjöl</v>
      </c>
      <c r="L24" s="207">
        <v>0</v>
      </c>
      <c r="M24" s="92">
        <f t="shared" si="3"/>
        <v>0</v>
      </c>
      <c r="N24" s="93">
        <f t="shared" si="4"/>
        <v>0</v>
      </c>
      <c r="P24" s="69" t="str">
        <f t="shared" si="13"/>
        <v>vetefodermjöl</v>
      </c>
      <c r="Q24" s="207">
        <v>5</v>
      </c>
      <c r="R24" s="92">
        <f t="shared" si="8"/>
        <v>0.5</v>
      </c>
      <c r="S24" s="93">
        <f>(R24*C24)*'Mina Produktionsnyckeltal'!$D$25</f>
        <v>55</v>
      </c>
      <c r="U24" s="69" t="str">
        <f t="shared" si="10"/>
        <v>vetefodermjöl</v>
      </c>
      <c r="V24" s="207">
        <v>5</v>
      </c>
      <c r="W24" s="92">
        <f t="shared" si="9"/>
        <v>1.4705882352941178</v>
      </c>
      <c r="X24" s="93">
        <f>(W24*C24)*'Mina Produktionsnyckeltal'!$D$25</f>
        <v>161.76470588235296</v>
      </c>
    </row>
    <row r="25" spans="2:24" ht="25.5" customHeight="1" thickBot="1" x14ac:dyDescent="0.3">
      <c r="B25" s="217" t="s">
        <v>210</v>
      </c>
      <c r="C25" s="206">
        <v>4</v>
      </c>
      <c r="D25" s="2"/>
      <c r="E25" s="97"/>
      <c r="F25" s="83" t="s">
        <v>25</v>
      </c>
      <c r="G25" s="94">
        <f>SUM(G11:G24)</f>
        <v>100</v>
      </c>
      <c r="H25" s="94">
        <f>SUM(H11:H24)</f>
        <v>778.94736842105237</v>
      </c>
      <c r="I25" s="95">
        <f>SUM(I11:I24)</f>
        <v>2453.6842105263158</v>
      </c>
      <c r="K25" s="83" t="s">
        <v>25</v>
      </c>
      <c r="L25" s="94">
        <f>SUM(L11:L24)</f>
        <v>100</v>
      </c>
      <c r="M25" s="94">
        <f>SUM(M11:M24)</f>
        <v>822.22222222222217</v>
      </c>
      <c r="N25" s="95">
        <f>SUM(N11:N24)</f>
        <v>1706.1111111111109</v>
      </c>
      <c r="P25" s="83" t="s">
        <v>25</v>
      </c>
      <c r="Q25" s="94">
        <f>SUM(Q11:Q24)</f>
        <v>100</v>
      </c>
      <c r="R25" s="94">
        <f>SUM(R11:R24)</f>
        <v>10</v>
      </c>
      <c r="S25" s="95">
        <f>SUM(S11:S24)</f>
        <v>632.5</v>
      </c>
      <c r="U25" s="83" t="s">
        <v>25</v>
      </c>
      <c r="V25" s="94">
        <f>SUM(V11:V24)</f>
        <v>100</v>
      </c>
      <c r="W25" s="94">
        <f>SUM(W11:W24)</f>
        <v>29.411764705882348</v>
      </c>
      <c r="X25" s="95">
        <f>SUM(X11:X24)</f>
        <v>2709.5588235294126</v>
      </c>
    </row>
    <row r="26" spans="2:24" ht="25.5" customHeight="1" thickBot="1" x14ac:dyDescent="0.3">
      <c r="B26" s="217" t="s">
        <v>211</v>
      </c>
      <c r="C26" s="206">
        <v>5</v>
      </c>
      <c r="D26" s="2"/>
      <c r="E26" s="2"/>
      <c r="F26" s="9"/>
      <c r="G26" s="14"/>
      <c r="H26" s="8"/>
      <c r="I26" s="7"/>
      <c r="P26" s="9"/>
      <c r="Q26" s="14"/>
      <c r="R26" s="8"/>
      <c r="S26" s="7"/>
    </row>
    <row r="27" spans="2:24" ht="25.5" customHeight="1" thickBot="1" x14ac:dyDescent="0.3">
      <c r="B27" s="217" t="s">
        <v>212</v>
      </c>
      <c r="C27" s="206">
        <v>5</v>
      </c>
      <c r="D27" s="2"/>
      <c r="E27" s="2"/>
      <c r="F27" s="9"/>
      <c r="G27" s="14"/>
      <c r="H27" s="8"/>
      <c r="I27" s="7"/>
      <c r="P27" s="9"/>
      <c r="Q27" s="14"/>
      <c r="R27" s="8"/>
      <c r="S27" s="7"/>
    </row>
    <row r="28" spans="2:24" ht="25.5" customHeight="1" x14ac:dyDescent="0.25">
      <c r="B28" s="5"/>
      <c r="C28" s="6"/>
      <c r="D28" s="2"/>
      <c r="E28" s="2"/>
      <c r="F28" s="9"/>
      <c r="G28" s="14"/>
      <c r="H28" s="8"/>
      <c r="I28" s="7"/>
      <c r="P28" s="9"/>
      <c r="Q28" s="14"/>
      <c r="R28" s="8"/>
      <c r="S28" s="7"/>
    </row>
    <row r="29" spans="2:24" ht="25.5" customHeight="1" x14ac:dyDescent="0.25">
      <c r="B29" s="5"/>
      <c r="D29" s="2"/>
      <c r="E29" s="2"/>
      <c r="P29" s="9"/>
      <c r="Q29" s="7"/>
      <c r="R29" s="8"/>
      <c r="S29" s="7"/>
    </row>
    <row r="30" spans="2:24" ht="25.5" customHeight="1" x14ac:dyDescent="0.25">
      <c r="B30" s="5"/>
      <c r="C30" s="5"/>
      <c r="D30" s="2"/>
      <c r="E30" s="2"/>
    </row>
    <row r="31" spans="2:24" ht="25.5" customHeight="1" x14ac:dyDescent="0.25">
      <c r="B31" s="5"/>
      <c r="C31" s="5"/>
      <c r="D31" s="2"/>
      <c r="E31" s="15"/>
    </row>
    <row r="32" spans="2:24" ht="25.5" customHeight="1" x14ac:dyDescent="0.25">
      <c r="B32" s="5"/>
      <c r="C32" s="5"/>
      <c r="D32" s="2"/>
      <c r="E32" s="10"/>
    </row>
    <row r="33" spans="2:14" ht="25.5" customHeight="1" x14ac:dyDescent="0.25">
      <c r="B33" s="5"/>
      <c r="C33" s="5"/>
      <c r="E33" s="10"/>
    </row>
    <row r="34" spans="2:14" s="6" customFormat="1" ht="25.5" customHeight="1" x14ac:dyDescent="0.25">
      <c r="B34" s="5"/>
      <c r="C34" s="5"/>
      <c r="D34" s="3"/>
      <c r="E34" s="11"/>
      <c r="K34" s="2"/>
      <c r="L34" s="2"/>
      <c r="M34" s="2"/>
      <c r="N34" s="2"/>
    </row>
    <row r="35" spans="2:14" ht="25.5" customHeight="1" x14ac:dyDescent="0.25">
      <c r="B35" s="5"/>
      <c r="C35" s="5"/>
      <c r="E35" s="12"/>
      <c r="K35" s="6"/>
      <c r="L35" s="6"/>
      <c r="M35" s="6"/>
      <c r="N35" s="6"/>
    </row>
    <row r="36" spans="2:14" ht="25.5" customHeight="1" x14ac:dyDescent="0.25">
      <c r="B36" s="5"/>
      <c r="C36" s="5"/>
      <c r="E36" s="13"/>
    </row>
    <row r="37" spans="2:14" ht="25.5" customHeight="1" x14ac:dyDescent="0.25">
      <c r="B37" s="5"/>
      <c r="C37" s="5"/>
      <c r="E37" s="13"/>
    </row>
    <row r="38" spans="2:14" s="5" customFormat="1" ht="25.5" customHeight="1" x14ac:dyDescent="0.25">
      <c r="E38" s="13"/>
      <c r="K38" s="2"/>
      <c r="L38" s="2"/>
      <c r="M38" s="2"/>
      <c r="N38" s="2"/>
    </row>
    <row r="39" spans="2:14" s="5" customFormat="1" ht="25.5" customHeight="1" x14ac:dyDescent="0.25">
      <c r="E39" s="13"/>
    </row>
    <row r="40" spans="2:14" s="5" customFormat="1" ht="25.5" customHeight="1" x14ac:dyDescent="0.25">
      <c r="B40" s="2"/>
      <c r="C40" s="3"/>
      <c r="E40" s="13"/>
    </row>
    <row r="41" spans="2:14" ht="25.5" customHeight="1" x14ac:dyDescent="0.25">
      <c r="D41" s="2"/>
      <c r="E41" s="2"/>
    </row>
    <row r="42" spans="2:14" ht="25.5" customHeight="1" x14ac:dyDescent="0.25"/>
    <row r="43" spans="2:14" ht="25.5" customHeight="1" x14ac:dyDescent="0.25"/>
    <row r="44" spans="2:14" x14ac:dyDescent="0.25">
      <c r="D44" s="2"/>
      <c r="E44" s="2"/>
    </row>
    <row r="45" spans="2:14" x14ac:dyDescent="0.25">
      <c r="D45" s="2"/>
      <c r="E45" s="2"/>
    </row>
    <row r="46" spans="2:14" x14ac:dyDescent="0.25">
      <c r="D46" s="2"/>
      <c r="E46" s="2"/>
    </row>
    <row r="47" spans="2:14" x14ac:dyDescent="0.25">
      <c r="D47" s="2"/>
      <c r="E47" s="2"/>
    </row>
  </sheetData>
  <sheetProtection algorithmName="SHA-512" hashValue="/ZdfN5c25FbYOTlWO/DdlSMcvr6lrgkMrXzfqpCmLvAW/w6DUTF9G1SQhcdaKFte5nVseuFulIbNuGs293nxzg==" saltValue="uTfi1WA/B9pHVAsFAn/VLQ==" spinCount="100000" sheet="1" selectLockedCells="1"/>
  <mergeCells count="18">
    <mergeCell ref="G8:H8"/>
    <mergeCell ref="G5:H5"/>
    <mergeCell ref="G6:H6"/>
    <mergeCell ref="G7:H7"/>
    <mergeCell ref="V7:W7"/>
    <mergeCell ref="V8:W8"/>
    <mergeCell ref="L6:M6"/>
    <mergeCell ref="L8:M8"/>
    <mergeCell ref="L5:M5"/>
    <mergeCell ref="L7:M7"/>
    <mergeCell ref="Q8:R8"/>
    <mergeCell ref="Q7:R7"/>
    <mergeCell ref="C1:D1"/>
    <mergeCell ref="B3:C3"/>
    <mergeCell ref="V5:W5"/>
    <mergeCell ref="V6:W6"/>
    <mergeCell ref="Q5:R5"/>
    <mergeCell ref="Q6:R6"/>
  </mergeCells>
  <phoneticPr fontId="5" type="noConversion"/>
  <printOptions horizontalCentered="1"/>
  <pageMargins left="0.25" right="0.25" top="0.75" bottom="0.75" header="0.3" footer="0.3"/>
  <pageSetup paperSize="9" scale="46" orientation="landscape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indexed="57"/>
  </sheetPr>
  <dimension ref="A1:X67"/>
  <sheetViews>
    <sheetView showGridLines="0" tabSelected="1" zoomScaleNormal="100" zoomScaleSheetLayoutView="50" workbookViewId="0">
      <pane ySplit="3" topLeftCell="A11" activePane="bottomLeft" state="frozen"/>
      <selection activeCell="R21" sqref="R21"/>
      <selection pane="bottomLeft" activeCell="G53" sqref="G53"/>
    </sheetView>
  </sheetViews>
  <sheetFormatPr defaultColWidth="9.140625" defaultRowHeight="15" x14ac:dyDescent="0.25"/>
  <cols>
    <col min="1" max="1" width="3.140625" style="2" customWidth="1"/>
    <col min="2" max="2" width="35.28515625" style="2" customWidth="1"/>
    <col min="3" max="3" width="11.42578125" style="2" customWidth="1"/>
    <col min="4" max="4" width="9.7109375" style="2" bestFit="1" customWidth="1"/>
    <col min="5" max="5" width="10.85546875" style="2" customWidth="1"/>
    <col min="6" max="6" width="12.42578125" style="2" customWidth="1"/>
    <col min="7" max="7" width="12.7109375" style="2" customWidth="1"/>
    <col min="8" max="8" width="1" style="2" customWidth="1"/>
    <col min="9" max="9" width="129" style="2" customWidth="1"/>
    <col min="10" max="10" width="21.140625" style="2" customWidth="1"/>
    <col min="11" max="16384" width="9.140625" style="2"/>
  </cols>
  <sheetData>
    <row r="1" spans="1:24" s="101" customFormat="1" ht="30" customHeight="1" x14ac:dyDescent="0.25">
      <c r="C1" s="334"/>
      <c r="D1" s="334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03" customFormat="1" ht="38.25" customHeight="1" x14ac:dyDescent="0.2">
      <c r="D2" s="104"/>
    </row>
    <row r="3" spans="1:24" s="1" customFormat="1" ht="21" x14ac:dyDescent="0.25">
      <c r="A3" s="103"/>
      <c r="B3" s="333" t="s">
        <v>232</v>
      </c>
      <c r="C3" s="333"/>
      <c r="D3" s="333"/>
      <c r="E3" s="333"/>
      <c r="F3" s="333"/>
      <c r="G3" s="333"/>
      <c r="H3" s="105"/>
      <c r="I3" s="123" t="s">
        <v>145</v>
      </c>
      <c r="J3" s="103"/>
    </row>
    <row r="4" spans="1:24" s="1" customFormat="1" ht="42" customHeight="1" x14ac:dyDescent="0.25">
      <c r="A4" s="103"/>
      <c r="B4" s="332"/>
      <c r="C4" s="332"/>
      <c r="D4" s="332"/>
      <c r="E4" s="332"/>
      <c r="F4" s="332"/>
      <c r="G4" s="332"/>
      <c r="I4" s="35"/>
    </row>
    <row r="5" spans="1:24" ht="5.25" customHeight="1" x14ac:dyDescent="0.25">
      <c r="A5" s="103"/>
      <c r="B5" s="330"/>
      <c r="H5" s="26"/>
      <c r="I5" s="35"/>
    </row>
    <row r="6" spans="1:24" s="32" customFormat="1" ht="11.25" customHeight="1" x14ac:dyDescent="0.25">
      <c r="A6" s="103"/>
      <c r="B6" s="331"/>
      <c r="C6" s="58"/>
      <c r="D6" s="58"/>
      <c r="E6" s="58"/>
      <c r="F6" s="58"/>
      <c r="G6" s="58"/>
      <c r="H6" s="53"/>
      <c r="I6" s="35"/>
    </row>
    <row r="7" spans="1:24" ht="24.95" customHeight="1" thickBot="1" x14ac:dyDescent="0.4">
      <c r="A7" s="103"/>
      <c r="B7" s="106" t="s">
        <v>109</v>
      </c>
      <c r="C7" s="107" t="s">
        <v>11</v>
      </c>
      <c r="D7" s="107" t="s">
        <v>17</v>
      </c>
      <c r="E7" s="107" t="s">
        <v>18</v>
      </c>
      <c r="F7" s="119" t="s">
        <v>27</v>
      </c>
      <c r="G7" s="108" t="s">
        <v>26</v>
      </c>
      <c r="H7" s="26"/>
      <c r="I7" s="73" t="s">
        <v>109</v>
      </c>
    </row>
    <row r="8" spans="1:24" ht="24.95" customHeight="1" thickTop="1" thickBot="1" x14ac:dyDescent="0.3">
      <c r="A8" s="103"/>
      <c r="B8" s="109" t="s">
        <v>53</v>
      </c>
      <c r="C8" s="109" t="s">
        <v>54</v>
      </c>
      <c r="D8" s="199">
        <v>100000</v>
      </c>
      <c r="E8" s="197">
        <v>0.9</v>
      </c>
      <c r="F8" s="110">
        <f>D8*E8</f>
        <v>90000</v>
      </c>
      <c r="G8" s="111">
        <f>IFERROR(F8/'Mina Produktionsnyckeltal'!D$6,0)</f>
        <v>225</v>
      </c>
      <c r="H8" s="26"/>
      <c r="I8" s="129" t="s">
        <v>77</v>
      </c>
    </row>
    <row r="9" spans="1:24" ht="24.95" customHeight="1" thickTop="1" thickBot="1" x14ac:dyDescent="0.3">
      <c r="A9" s="103"/>
      <c r="B9" s="109" t="s">
        <v>55</v>
      </c>
      <c r="C9" s="109" t="s">
        <v>56</v>
      </c>
      <c r="D9" s="199">
        <v>0</v>
      </c>
      <c r="E9" s="197">
        <v>0</v>
      </c>
      <c r="F9" s="110">
        <f>D9*E9</f>
        <v>0</v>
      </c>
      <c r="G9" s="111">
        <f>IFERROR(F9/'Mina Produktionsnyckeltal'!D$6,0)</f>
        <v>0</v>
      </c>
      <c r="H9" s="26"/>
      <c r="I9" s="130" t="s">
        <v>79</v>
      </c>
    </row>
    <row r="10" spans="1:24" ht="24.95" customHeight="1" thickTop="1" thickBot="1" x14ac:dyDescent="0.3">
      <c r="A10" s="103"/>
      <c r="B10" s="109" t="s">
        <v>57</v>
      </c>
      <c r="C10" s="109" t="s">
        <v>58</v>
      </c>
      <c r="D10" s="199">
        <v>0</v>
      </c>
      <c r="E10" s="197">
        <v>0</v>
      </c>
      <c r="F10" s="110">
        <f>D10*E10</f>
        <v>0</v>
      </c>
      <c r="G10" s="111">
        <f>IFERROR(F10/'Mina Produktionsnyckeltal'!D$6,0)</f>
        <v>0</v>
      </c>
      <c r="H10" s="26"/>
      <c r="I10" s="131" t="s">
        <v>155</v>
      </c>
    </row>
    <row r="11" spans="1:24" ht="24.95" customHeight="1" thickTop="1" thickBot="1" x14ac:dyDescent="0.3">
      <c r="A11" s="103"/>
      <c r="B11" s="109" t="s">
        <v>59</v>
      </c>
      <c r="C11" s="109" t="s">
        <v>54</v>
      </c>
      <c r="D11" s="199">
        <v>0</v>
      </c>
      <c r="E11" s="197">
        <v>0</v>
      </c>
      <c r="F11" s="110">
        <f>D11*E11</f>
        <v>0</v>
      </c>
      <c r="G11" s="111">
        <f>IFERROR(F11/'Mina Produktionsnyckeltal'!D$6,0)</f>
        <v>0</v>
      </c>
      <c r="H11" s="26"/>
      <c r="I11" s="196" t="s">
        <v>162</v>
      </c>
    </row>
    <row r="12" spans="1:24" ht="24.95" customHeight="1" thickTop="1" thickBot="1" x14ac:dyDescent="0.3">
      <c r="A12" s="103"/>
      <c r="B12" s="109" t="s">
        <v>60</v>
      </c>
      <c r="C12" s="109" t="s">
        <v>56</v>
      </c>
      <c r="D12" s="199">
        <v>0</v>
      </c>
      <c r="E12" s="197">
        <v>0</v>
      </c>
      <c r="F12" s="110">
        <f>D12*E12</f>
        <v>0</v>
      </c>
      <c r="G12" s="111">
        <f>IFERROR(F12/'Mina Produktionsnyckeltal'!D$6,0)</f>
        <v>0</v>
      </c>
      <c r="H12" s="26"/>
      <c r="I12" s="132" t="s">
        <v>225</v>
      </c>
    </row>
    <row r="13" spans="1:24" ht="24.95" customHeight="1" thickTop="1" thickBot="1" x14ac:dyDescent="0.3">
      <c r="A13" s="103"/>
      <c r="B13" s="113" t="s">
        <v>110</v>
      </c>
      <c r="C13" s="113"/>
      <c r="D13" s="114"/>
      <c r="E13" s="115"/>
      <c r="F13" s="116">
        <f>SUM(F8:F12)</f>
        <v>90000</v>
      </c>
      <c r="G13" s="117">
        <f>SUM(G8:G12)</f>
        <v>225</v>
      </c>
      <c r="H13" s="26"/>
      <c r="I13" s="236"/>
    </row>
    <row r="14" spans="1:24" ht="24.95" customHeight="1" thickTop="1" x14ac:dyDescent="0.25">
      <c r="A14" s="103"/>
      <c r="B14" s="26"/>
      <c r="C14" s="26"/>
      <c r="D14" s="27"/>
      <c r="E14" s="26"/>
      <c r="F14" s="27"/>
      <c r="G14" s="25"/>
      <c r="H14" s="26"/>
      <c r="I14" s="26"/>
      <c r="J14" s="28"/>
    </row>
    <row r="15" spans="1:24" ht="24.95" customHeight="1" thickBot="1" x14ac:dyDescent="0.4">
      <c r="A15" s="103"/>
      <c r="B15" s="106" t="s">
        <v>114</v>
      </c>
      <c r="C15" s="107"/>
      <c r="D15" s="335" t="s">
        <v>27</v>
      </c>
      <c r="E15" s="335"/>
      <c r="F15" s="119"/>
      <c r="G15" s="108" t="s">
        <v>26</v>
      </c>
      <c r="H15" s="26"/>
      <c r="I15" s="73" t="s">
        <v>112</v>
      </c>
    </row>
    <row r="16" spans="1:24" ht="24.75" customHeight="1" thickTop="1" thickBot="1" x14ac:dyDescent="0.3">
      <c r="A16" s="103"/>
      <c r="B16" s="109" t="s">
        <v>85</v>
      </c>
      <c r="C16" s="109" t="s">
        <v>80</v>
      </c>
      <c r="D16" s="336">
        <v>50000</v>
      </c>
      <c r="E16" s="337">
        <v>0</v>
      </c>
      <c r="F16" s="265"/>
      <c r="G16" s="111">
        <f>IFERROR(D16/'Mina Produktionsnyckeltal'!D$6,0)</f>
        <v>125</v>
      </c>
      <c r="H16" s="26"/>
      <c r="I16" s="133" t="s">
        <v>226</v>
      </c>
    </row>
    <row r="17" spans="1:15" ht="24.95" customHeight="1" thickTop="1" thickBot="1" x14ac:dyDescent="0.3">
      <c r="A17" s="103"/>
      <c r="B17" s="109" t="s">
        <v>105</v>
      </c>
      <c r="C17" s="109" t="s">
        <v>80</v>
      </c>
      <c r="D17" s="336">
        <v>5000</v>
      </c>
      <c r="E17" s="337">
        <v>0</v>
      </c>
      <c r="F17" s="265"/>
      <c r="G17" s="111">
        <f>IFERROR(D17/'Mina Produktionsnyckeltal'!D$6,0)</f>
        <v>12.5</v>
      </c>
      <c r="H17" s="26"/>
      <c r="I17" s="129" t="s">
        <v>177</v>
      </c>
    </row>
    <row r="18" spans="1:15" ht="24.95" customHeight="1" thickTop="1" thickBot="1" x14ac:dyDescent="0.3">
      <c r="A18" s="103"/>
      <c r="B18" s="109" t="s">
        <v>134</v>
      </c>
      <c r="C18" s="109" t="s">
        <v>80</v>
      </c>
      <c r="D18" s="336">
        <v>50000</v>
      </c>
      <c r="E18" s="337">
        <v>0</v>
      </c>
      <c r="F18" s="265"/>
      <c r="G18" s="111">
        <f>IFERROR(D18/'Mina Produktionsnyckeltal'!D$6,0)</f>
        <v>125</v>
      </c>
      <c r="H18" s="26"/>
      <c r="I18" s="132" t="s">
        <v>227</v>
      </c>
    </row>
    <row r="19" spans="1:15" ht="24.95" customHeight="1" thickTop="1" thickBot="1" x14ac:dyDescent="0.3">
      <c r="A19" s="103"/>
      <c r="B19" s="113" t="s">
        <v>117</v>
      </c>
      <c r="C19" s="113"/>
      <c r="D19" s="114"/>
      <c r="E19" s="115"/>
      <c r="F19" s="116"/>
      <c r="G19" s="117">
        <f>SUM(G16:G18)</f>
        <v>262.5</v>
      </c>
      <c r="H19" s="26"/>
      <c r="I19" s="237" t="s">
        <v>163</v>
      </c>
    </row>
    <row r="20" spans="1:15" ht="24.95" customHeight="1" thickTop="1" x14ac:dyDescent="0.25">
      <c r="A20" s="103"/>
      <c r="B20" s="26"/>
      <c r="C20" s="26"/>
      <c r="D20" s="27"/>
      <c r="E20" s="27"/>
      <c r="F20" s="27"/>
      <c r="G20" s="25"/>
      <c r="H20" s="26"/>
      <c r="I20" s="124"/>
    </row>
    <row r="21" spans="1:15" ht="24.95" customHeight="1" thickBot="1" x14ac:dyDescent="0.4">
      <c r="A21" s="103"/>
      <c r="B21" s="106" t="s">
        <v>131</v>
      </c>
      <c r="C21" s="107"/>
      <c r="D21" s="335" t="s">
        <v>27</v>
      </c>
      <c r="E21" s="335"/>
      <c r="F21" s="119"/>
      <c r="G21" s="108" t="s">
        <v>26</v>
      </c>
      <c r="H21" s="26"/>
      <c r="I21" s="215" t="s">
        <v>129</v>
      </c>
    </row>
    <row r="22" spans="1:15" ht="24.95" customHeight="1" thickTop="1" thickBot="1" x14ac:dyDescent="0.3">
      <c r="A22" s="103"/>
      <c r="B22" s="109" t="s">
        <v>157</v>
      </c>
      <c r="C22" s="109" t="s">
        <v>156</v>
      </c>
      <c r="D22" s="336">
        <v>7000</v>
      </c>
      <c r="E22" s="337">
        <v>0</v>
      </c>
      <c r="F22" s="265"/>
      <c r="G22" s="111">
        <f>IFERROR(D22/'Mina Produktionsnyckeltal'!D$6,0)</f>
        <v>17.5</v>
      </c>
      <c r="H22" s="26"/>
      <c r="I22" s="212" t="s">
        <v>164</v>
      </c>
      <c r="J22" s="193"/>
    </row>
    <row r="23" spans="1:15" ht="24.95" customHeight="1" thickTop="1" thickBot="1" x14ac:dyDescent="0.3">
      <c r="A23" s="103"/>
      <c r="B23" s="109" t="s">
        <v>116</v>
      </c>
      <c r="C23" s="109" t="s">
        <v>156</v>
      </c>
      <c r="D23" s="336">
        <v>15000</v>
      </c>
      <c r="E23" s="337">
        <v>0</v>
      </c>
      <c r="F23" s="265"/>
      <c r="G23" s="111">
        <f>IFERROR(D23/'Mina Produktionsnyckeltal'!D$6,0)</f>
        <v>37.5</v>
      </c>
      <c r="H23" s="26"/>
      <c r="I23" s="213" t="s">
        <v>178</v>
      </c>
      <c r="J23" s="194"/>
    </row>
    <row r="24" spans="1:15" ht="24.95" customHeight="1" thickTop="1" thickBot="1" x14ac:dyDescent="0.3">
      <c r="A24" s="103"/>
      <c r="B24" s="109" t="s">
        <v>70</v>
      </c>
      <c r="C24" s="109" t="s">
        <v>156</v>
      </c>
      <c r="D24" s="336">
        <v>13000</v>
      </c>
      <c r="E24" s="337">
        <v>0</v>
      </c>
      <c r="F24" s="265"/>
      <c r="G24" s="111">
        <f>IFERROR(D24/'Mina Produktionsnyckeltal'!D$6,0)</f>
        <v>32.5</v>
      </c>
      <c r="H24" s="26"/>
      <c r="I24" s="214" t="s">
        <v>165</v>
      </c>
      <c r="J24" s="194"/>
    </row>
    <row r="25" spans="1:15" ht="24.95" customHeight="1" thickTop="1" thickBot="1" x14ac:dyDescent="0.3">
      <c r="A25" s="103"/>
      <c r="B25" s="113" t="s">
        <v>52</v>
      </c>
      <c r="C25" s="113" t="s">
        <v>2</v>
      </c>
      <c r="D25" s="114"/>
      <c r="E25" s="114"/>
      <c r="F25" s="116">
        <f>SUM(F22:F24)</f>
        <v>0</v>
      </c>
      <c r="G25" s="117">
        <f>G22+G23+G24</f>
        <v>87.5</v>
      </c>
      <c r="H25" s="26"/>
      <c r="I25" s="214" t="s">
        <v>166</v>
      </c>
      <c r="J25" s="194"/>
    </row>
    <row r="26" spans="1:15" ht="24.95" customHeight="1" thickTop="1" x14ac:dyDescent="0.25">
      <c r="A26" s="103"/>
      <c r="B26" s="26"/>
      <c r="C26" s="26"/>
      <c r="D26" s="27"/>
      <c r="E26" s="26"/>
      <c r="F26" s="27"/>
      <c r="G26" s="25"/>
      <c r="H26" s="26"/>
      <c r="I26" s="238"/>
      <c r="J26" s="194"/>
    </row>
    <row r="27" spans="1:15" s="28" customFormat="1" ht="24.95" customHeight="1" thickBot="1" x14ac:dyDescent="0.4">
      <c r="A27" s="103"/>
      <c r="B27" s="106" t="s">
        <v>3</v>
      </c>
      <c r="C27" s="107"/>
      <c r="D27" s="107" t="s">
        <v>17</v>
      </c>
      <c r="E27" s="107" t="s">
        <v>18</v>
      </c>
      <c r="F27" s="107" t="s">
        <v>27</v>
      </c>
      <c r="G27" s="108" t="s">
        <v>26</v>
      </c>
      <c r="H27" s="17"/>
      <c r="I27" s="125" t="s">
        <v>106</v>
      </c>
      <c r="J27" s="23"/>
      <c r="K27" s="23"/>
      <c r="L27" s="23"/>
      <c r="M27" s="23"/>
      <c r="N27" s="23"/>
      <c r="O27" s="23"/>
    </row>
    <row r="28" spans="1:15" ht="24.95" customHeight="1" thickTop="1" thickBot="1" x14ac:dyDescent="0.3">
      <c r="A28" s="103"/>
      <c r="B28" s="109" t="s">
        <v>68</v>
      </c>
      <c r="C28" s="109" t="s">
        <v>4</v>
      </c>
      <c r="D28" s="202">
        <v>20000</v>
      </c>
      <c r="E28" s="197">
        <v>0.8</v>
      </c>
      <c r="F28" s="110">
        <f>D28*E28</f>
        <v>16000</v>
      </c>
      <c r="G28" s="111">
        <f>IFERROR(F28/'Mina Produktionsnyckeltal'!D$6,0)</f>
        <v>40</v>
      </c>
      <c r="H28" s="26"/>
      <c r="I28" s="131" t="s">
        <v>158</v>
      </c>
      <c r="J28" s="23"/>
      <c r="K28" s="23"/>
      <c r="L28" s="23"/>
      <c r="M28" s="23"/>
      <c r="N28" s="23"/>
      <c r="O28" s="23"/>
    </row>
    <row r="29" spans="1:15" ht="24.95" customHeight="1" thickTop="1" thickBot="1" x14ac:dyDescent="0.3">
      <c r="A29" s="103"/>
      <c r="B29" s="109" t="s">
        <v>69</v>
      </c>
      <c r="C29" s="109" t="s">
        <v>4</v>
      </c>
      <c r="D29" s="202">
        <v>1000</v>
      </c>
      <c r="E29" s="262">
        <v>5</v>
      </c>
      <c r="F29" s="110">
        <f>D29*E29</f>
        <v>5000</v>
      </c>
      <c r="G29" s="111">
        <f>IFERROR(F29/'Mina Produktionsnyckeltal'!D$6,0)</f>
        <v>12.5</v>
      </c>
      <c r="H29" s="26"/>
      <c r="I29" s="130" t="s">
        <v>200</v>
      </c>
      <c r="J29" s="23"/>
      <c r="K29" s="23"/>
      <c r="L29" s="23"/>
      <c r="M29" s="23"/>
      <c r="N29" s="23"/>
      <c r="O29" s="23"/>
    </row>
    <row r="30" spans="1:15" ht="24.95" customHeight="1" thickTop="1" thickBot="1" x14ac:dyDescent="0.3">
      <c r="A30" s="103"/>
      <c r="B30" s="109" t="s">
        <v>70</v>
      </c>
      <c r="C30" s="109" t="s">
        <v>4</v>
      </c>
      <c r="D30" s="202">
        <v>1</v>
      </c>
      <c r="E30" s="201">
        <v>3500</v>
      </c>
      <c r="F30" s="110">
        <f>D30*E30</f>
        <v>3500</v>
      </c>
      <c r="G30" s="111">
        <f>IFERROR(F30/'Mina Produktionsnyckeltal'!D$6,0)</f>
        <v>8.75</v>
      </c>
      <c r="H30" s="26"/>
      <c r="I30" s="131" t="s">
        <v>228</v>
      </c>
      <c r="J30" s="23"/>
      <c r="K30" s="23"/>
      <c r="L30" s="23"/>
      <c r="M30" s="23"/>
      <c r="N30" s="23"/>
      <c r="O30" s="23"/>
    </row>
    <row r="31" spans="1:15" s="28" customFormat="1" ht="24.95" customHeight="1" thickTop="1" thickBot="1" x14ac:dyDescent="0.3">
      <c r="A31" s="103"/>
      <c r="B31" s="113" t="s">
        <v>71</v>
      </c>
      <c r="C31" s="113"/>
      <c r="D31" s="114"/>
      <c r="E31" s="115"/>
      <c r="F31" s="116">
        <f>SUM(F28:F30)</f>
        <v>24500</v>
      </c>
      <c r="G31" s="117">
        <f>SUM(G28:G30)</f>
        <v>61.25</v>
      </c>
      <c r="H31" s="17"/>
      <c r="I31" s="239" t="s">
        <v>201</v>
      </c>
      <c r="J31" s="22"/>
      <c r="K31" s="22"/>
      <c r="L31" s="22"/>
      <c r="M31" s="22"/>
      <c r="N31" s="22"/>
      <c r="O31" s="22"/>
    </row>
    <row r="32" spans="1:15" ht="24.95" customHeight="1" thickTop="1" x14ac:dyDescent="0.25">
      <c r="A32" s="103"/>
      <c r="B32" s="26"/>
      <c r="C32" s="26"/>
      <c r="D32" s="27"/>
      <c r="E32" s="26"/>
      <c r="F32" s="27"/>
      <c r="G32" s="25"/>
      <c r="H32" s="26"/>
      <c r="I32" s="26"/>
    </row>
    <row r="33" spans="1:9" ht="24.95" customHeight="1" thickBot="1" x14ac:dyDescent="0.4">
      <c r="A33" s="103"/>
      <c r="B33" s="106" t="s">
        <v>76</v>
      </c>
      <c r="C33" s="107"/>
      <c r="D33" s="107" t="s">
        <v>17</v>
      </c>
      <c r="E33" s="107" t="s">
        <v>18</v>
      </c>
      <c r="F33" s="107" t="s">
        <v>27</v>
      </c>
      <c r="G33" s="108" t="s">
        <v>26</v>
      </c>
      <c r="H33" s="26"/>
      <c r="I33" s="73" t="s">
        <v>76</v>
      </c>
    </row>
    <row r="34" spans="1:9" ht="24.95" customHeight="1" thickTop="1" thickBot="1" x14ac:dyDescent="0.3">
      <c r="A34" s="103"/>
      <c r="B34" s="109" t="s">
        <v>19</v>
      </c>
      <c r="C34" s="109" t="s">
        <v>2</v>
      </c>
      <c r="D34" s="199">
        <v>1</v>
      </c>
      <c r="E34" s="201">
        <v>10000</v>
      </c>
      <c r="F34" s="110">
        <f t="shared" ref="F34:F43" si="0">D34*E34</f>
        <v>10000</v>
      </c>
      <c r="G34" s="111">
        <f>IFERROR(F34/'Mina Produktionsnyckeltal'!D$6,0)</f>
        <v>25</v>
      </c>
      <c r="H34" s="26"/>
      <c r="I34" s="129" t="s">
        <v>229</v>
      </c>
    </row>
    <row r="35" spans="1:9" ht="24.95" customHeight="1" thickTop="1" thickBot="1" x14ac:dyDescent="0.3">
      <c r="A35" s="103"/>
      <c r="B35" s="109" t="s">
        <v>111</v>
      </c>
      <c r="C35" s="109" t="s">
        <v>2</v>
      </c>
      <c r="D35" s="199">
        <v>1</v>
      </c>
      <c r="E35" s="201">
        <v>13000</v>
      </c>
      <c r="F35" s="110">
        <f>D35*E35</f>
        <v>13000</v>
      </c>
      <c r="G35" s="111">
        <f>IFERROR(F35/'Mina Produktionsnyckeltal'!D$6,0)</f>
        <v>32.5</v>
      </c>
      <c r="H35" s="26"/>
      <c r="I35" s="129"/>
    </row>
    <row r="36" spans="1:9" ht="24.95" customHeight="1" thickTop="1" thickBot="1" x14ac:dyDescent="0.3">
      <c r="A36" s="103"/>
      <c r="B36" s="109" t="s">
        <v>20</v>
      </c>
      <c r="C36" s="109" t="s">
        <v>21</v>
      </c>
      <c r="D36" s="199">
        <v>30</v>
      </c>
      <c r="E36" s="201">
        <v>200</v>
      </c>
      <c r="F36" s="110">
        <f t="shared" si="0"/>
        <v>6000</v>
      </c>
      <c r="G36" s="111">
        <f>IFERROR(F36/'Mina Produktionsnyckeltal'!D$6,0)</f>
        <v>15</v>
      </c>
      <c r="H36" s="26"/>
      <c r="I36" s="129" t="s">
        <v>154</v>
      </c>
    </row>
    <row r="37" spans="1:9" ht="24.95" customHeight="1" thickTop="1" thickBot="1" x14ac:dyDescent="0.3">
      <c r="A37" s="103"/>
      <c r="B37" s="109" t="s">
        <v>82</v>
      </c>
      <c r="C37" s="109" t="s">
        <v>2</v>
      </c>
      <c r="D37" s="199">
        <v>1</v>
      </c>
      <c r="E37" s="201">
        <v>5000</v>
      </c>
      <c r="F37" s="110">
        <f t="shared" si="0"/>
        <v>5000</v>
      </c>
      <c r="G37" s="111">
        <f>IFERROR(F37/'Mina Produktionsnyckeltal'!D$6,0)</f>
        <v>12.5</v>
      </c>
      <c r="H37" s="26"/>
      <c r="I37" s="130" t="s">
        <v>230</v>
      </c>
    </row>
    <row r="38" spans="1:9" ht="24.95" customHeight="1" thickTop="1" thickBot="1" x14ac:dyDescent="0.3">
      <c r="A38" s="103"/>
      <c r="B38" s="109" t="s">
        <v>73</v>
      </c>
      <c r="C38" s="109" t="s">
        <v>2</v>
      </c>
      <c r="D38" s="199">
        <v>1</v>
      </c>
      <c r="E38" s="201">
        <v>5000</v>
      </c>
      <c r="F38" s="110">
        <f t="shared" si="0"/>
        <v>5000</v>
      </c>
      <c r="G38" s="111">
        <f>IFERROR(F38/'Mina Produktionsnyckeltal'!D$6,0)</f>
        <v>12.5</v>
      </c>
      <c r="H38" s="26"/>
      <c r="I38" s="130"/>
    </row>
    <row r="39" spans="1:9" ht="24.95" customHeight="1" thickTop="1" thickBot="1" x14ac:dyDescent="0.3">
      <c r="A39" s="103"/>
      <c r="B39" s="109" t="s">
        <v>31</v>
      </c>
      <c r="C39" s="109" t="s">
        <v>2</v>
      </c>
      <c r="D39" s="199">
        <v>1</v>
      </c>
      <c r="E39" s="201">
        <v>2000</v>
      </c>
      <c r="F39" s="110">
        <f t="shared" si="0"/>
        <v>2000</v>
      </c>
      <c r="G39" s="111">
        <f>IFERROR(F39/'Mina Produktionsnyckeltal'!D$6,0)</f>
        <v>5</v>
      </c>
      <c r="H39" s="26"/>
      <c r="I39" s="132" t="s">
        <v>231</v>
      </c>
    </row>
    <row r="40" spans="1:9" ht="24.95" customHeight="1" thickTop="1" thickBot="1" x14ac:dyDescent="0.3">
      <c r="A40" s="103"/>
      <c r="B40" s="109" t="s">
        <v>22</v>
      </c>
      <c r="C40" s="109" t="s">
        <v>2</v>
      </c>
      <c r="D40" s="199">
        <v>1</v>
      </c>
      <c r="E40" s="201">
        <v>1000</v>
      </c>
      <c r="F40" s="110">
        <f t="shared" si="0"/>
        <v>1000</v>
      </c>
      <c r="G40" s="111">
        <f>IFERROR(F40/'Mina Produktionsnyckeltal'!D$6,0)</f>
        <v>2.5</v>
      </c>
      <c r="H40" s="26"/>
      <c r="I40" s="130" t="s">
        <v>135</v>
      </c>
    </row>
    <row r="41" spans="1:9" ht="24.95" customHeight="1" thickTop="1" thickBot="1" x14ac:dyDescent="0.3">
      <c r="A41" s="103"/>
      <c r="B41" s="109" t="s">
        <v>23</v>
      </c>
      <c r="C41" s="109" t="s">
        <v>2</v>
      </c>
      <c r="D41" s="199">
        <v>1</v>
      </c>
      <c r="E41" s="201">
        <v>1000</v>
      </c>
      <c r="F41" s="110">
        <f t="shared" si="0"/>
        <v>1000</v>
      </c>
      <c r="G41" s="111">
        <f>IFERROR(F41/'Mina Produktionsnyckeltal'!D$6,0)</f>
        <v>2.5</v>
      </c>
      <c r="H41" s="26"/>
      <c r="I41" s="130" t="s">
        <v>167</v>
      </c>
    </row>
    <row r="42" spans="1:9" ht="24.95" customHeight="1" thickTop="1" thickBot="1" x14ac:dyDescent="0.3">
      <c r="A42" s="103"/>
      <c r="B42" s="109" t="s">
        <v>81</v>
      </c>
      <c r="C42" s="109" t="s">
        <v>2</v>
      </c>
      <c r="D42" s="199">
        <v>1</v>
      </c>
      <c r="E42" s="201">
        <v>1000</v>
      </c>
      <c r="F42" s="110">
        <f t="shared" si="0"/>
        <v>1000</v>
      </c>
      <c r="G42" s="111">
        <f>IFERROR(F42/'Mina Produktionsnyckeltal'!D$6,0)</f>
        <v>2.5</v>
      </c>
      <c r="H42" s="26"/>
      <c r="I42" s="130"/>
    </row>
    <row r="43" spans="1:9" ht="24.95" customHeight="1" thickTop="1" thickBot="1" x14ac:dyDescent="0.3">
      <c r="A43" s="103"/>
      <c r="B43" s="109" t="s">
        <v>24</v>
      </c>
      <c r="C43" s="109" t="s">
        <v>2</v>
      </c>
      <c r="D43" s="199">
        <v>1</v>
      </c>
      <c r="E43" s="201">
        <v>2000</v>
      </c>
      <c r="F43" s="110">
        <f t="shared" si="0"/>
        <v>2000</v>
      </c>
      <c r="G43" s="111">
        <f>IFERROR(F43/'Mina Produktionsnyckeltal'!D$6,0)</f>
        <v>5</v>
      </c>
      <c r="H43" s="26"/>
      <c r="I43" s="130"/>
    </row>
    <row r="44" spans="1:9" ht="24.95" customHeight="1" thickTop="1" thickBot="1" x14ac:dyDescent="0.3">
      <c r="A44" s="103"/>
      <c r="B44" s="113" t="s">
        <v>115</v>
      </c>
      <c r="C44" s="113"/>
      <c r="D44" s="114"/>
      <c r="E44" s="115"/>
      <c r="F44" s="116">
        <f>SUM(F34:F43)</f>
        <v>46000</v>
      </c>
      <c r="G44" s="117">
        <f>SUM(G34:G43)</f>
        <v>115</v>
      </c>
      <c r="H44" s="26"/>
      <c r="I44" s="240"/>
    </row>
    <row r="45" spans="1:9" ht="24.95" customHeight="1" thickTop="1" x14ac:dyDescent="0.25">
      <c r="A45" s="103"/>
      <c r="B45" s="26"/>
      <c r="C45" s="26"/>
      <c r="D45" s="27"/>
      <c r="E45" s="26"/>
      <c r="F45" s="27"/>
      <c r="G45" s="25"/>
      <c r="H45" s="26"/>
      <c r="I45" s="73" t="s">
        <v>7</v>
      </c>
    </row>
    <row r="46" spans="1:9" ht="24.95" customHeight="1" x14ac:dyDescent="0.25">
      <c r="A46" s="103"/>
      <c r="B46" s="126"/>
      <c r="C46" s="26"/>
      <c r="D46" s="120"/>
      <c r="E46" s="112"/>
      <c r="F46" s="121" t="s">
        <v>97</v>
      </c>
      <c r="G46" s="203">
        <v>250</v>
      </c>
      <c r="H46" s="26"/>
      <c r="I46" s="338" t="s">
        <v>153</v>
      </c>
    </row>
    <row r="47" spans="1:9" ht="37.5" customHeight="1" thickBot="1" x14ac:dyDescent="0.4">
      <c r="A47" s="103"/>
      <c r="B47" s="122" t="s">
        <v>62</v>
      </c>
      <c r="C47" s="326" t="s">
        <v>245</v>
      </c>
      <c r="D47" s="327"/>
      <c r="E47" s="50" t="s">
        <v>233</v>
      </c>
      <c r="F47" s="308" t="s">
        <v>244</v>
      </c>
      <c r="G47" s="108" t="s">
        <v>72</v>
      </c>
      <c r="H47" s="26"/>
      <c r="I47" s="338"/>
    </row>
    <row r="48" spans="1:9" ht="24.95" customHeight="1" thickTop="1" thickBot="1" x14ac:dyDescent="0.3">
      <c r="A48" s="103"/>
      <c r="B48" s="216" t="s">
        <v>78</v>
      </c>
      <c r="C48" s="328" t="s">
        <v>214</v>
      </c>
      <c r="D48" s="329"/>
      <c r="E48" s="263">
        <v>2</v>
      </c>
      <c r="F48" s="306">
        <f>G48*$G$46</f>
        <v>456.25</v>
      </c>
      <c r="G48" s="304">
        <f>IFERROR(IF(C48="Tid per dag",E48*365,IF(C48="Tid per vecka",E48*52,E48*12))/'Mina Produktionsnyckeltal'!D$6,0)</f>
        <v>1.825</v>
      </c>
      <c r="H48" s="26"/>
      <c r="I48" s="128"/>
    </row>
    <row r="49" spans="1:9" ht="24.95" customHeight="1" thickTop="1" thickBot="1" x14ac:dyDescent="0.3">
      <c r="A49" s="103"/>
      <c r="B49" s="109" t="s">
        <v>113</v>
      </c>
      <c r="C49" s="328" t="s">
        <v>176</v>
      </c>
      <c r="D49" s="329"/>
      <c r="E49" s="263">
        <v>2</v>
      </c>
      <c r="F49" s="306">
        <f t="shared" ref="F49:F50" si="1">G49*$G$46</f>
        <v>65</v>
      </c>
      <c r="G49" s="304">
        <f>IFERROR(IF(C49="Tid per dag",E49*365,IF(C49="Tid per vecka",E49*52,E49*12))/'Mina Produktionsnyckeltal'!D$6,0)</f>
        <v>0.26</v>
      </c>
      <c r="H49" s="26"/>
      <c r="I49" s="128"/>
    </row>
    <row r="50" spans="1:9" ht="24.95" customHeight="1" thickTop="1" thickBot="1" x14ac:dyDescent="0.3">
      <c r="A50" s="103"/>
      <c r="B50" s="109" t="s">
        <v>64</v>
      </c>
      <c r="C50" s="328" t="s">
        <v>176</v>
      </c>
      <c r="D50" s="329"/>
      <c r="E50" s="263">
        <v>2</v>
      </c>
      <c r="F50" s="306">
        <f t="shared" si="1"/>
        <v>65</v>
      </c>
      <c r="G50" s="304">
        <f>IFERROR(IF(C50="Tid per dag",E50*365,IF(C50="Tid per vecka",E50*52,E50*12))/'Mina Produktionsnyckeltal'!D$6,0)</f>
        <v>0.26</v>
      </c>
      <c r="H50" s="26"/>
      <c r="I50" s="128"/>
    </row>
    <row r="51" spans="1:9" s="28" customFormat="1" ht="24.95" customHeight="1" thickTop="1" thickBot="1" x14ac:dyDescent="0.3">
      <c r="A51" s="103"/>
      <c r="B51" s="113" t="s">
        <v>66</v>
      </c>
      <c r="C51" s="113"/>
      <c r="D51" s="114"/>
      <c r="E51" s="115"/>
      <c r="F51" s="307">
        <f>SUM(F48:F50)</f>
        <v>586.25</v>
      </c>
      <c r="G51" s="305">
        <f>SUM(G48:G50)</f>
        <v>2.3449999999999998</v>
      </c>
      <c r="H51" s="17"/>
      <c r="I51" s="128"/>
    </row>
    <row r="52" spans="1:9" ht="24.95" customHeight="1" thickTop="1" x14ac:dyDescent="0.25">
      <c r="A52" s="103"/>
      <c r="B52" s="26"/>
      <c r="C52" s="26"/>
      <c r="D52" s="27"/>
      <c r="E52" s="26"/>
      <c r="F52" s="27"/>
      <c r="G52" s="25"/>
      <c r="H52" s="26"/>
      <c r="I52" s="128"/>
    </row>
    <row r="53" spans="1:9" ht="24.95" customHeight="1" x14ac:dyDescent="0.25">
      <c r="A53" s="103"/>
      <c r="B53" s="118"/>
      <c r="C53" s="118"/>
      <c r="D53" s="120"/>
      <c r="E53" s="112"/>
      <c r="F53" s="121" t="s">
        <v>98</v>
      </c>
      <c r="G53" s="203">
        <v>300</v>
      </c>
      <c r="H53" s="26"/>
      <c r="I53" s="128"/>
    </row>
    <row r="54" spans="1:9" ht="36" customHeight="1" thickBot="1" x14ac:dyDescent="0.4">
      <c r="A54" s="103"/>
      <c r="B54" s="122" t="s">
        <v>65</v>
      </c>
      <c r="C54" s="326" t="s">
        <v>245</v>
      </c>
      <c r="D54" s="327"/>
      <c r="E54" s="50" t="s">
        <v>233</v>
      </c>
      <c r="F54" s="308" t="s">
        <v>244</v>
      </c>
      <c r="G54" s="308" t="s">
        <v>72</v>
      </c>
      <c r="H54" s="26"/>
      <c r="I54" s="128"/>
    </row>
    <row r="55" spans="1:9" ht="24.95" customHeight="1" thickTop="1" thickBot="1" x14ac:dyDescent="0.3">
      <c r="A55" s="103"/>
      <c r="B55" s="109" t="s">
        <v>63</v>
      </c>
      <c r="C55" s="328" t="s">
        <v>214</v>
      </c>
      <c r="D55" s="329"/>
      <c r="E55" s="263">
        <v>2</v>
      </c>
      <c r="F55" s="306">
        <f>G55*$G$53</f>
        <v>547.5</v>
      </c>
      <c r="G55" s="304">
        <f>IFERROR(IF(C55="Tid per dag",E55*365,IF(C55="Tid per vecka",E55*52,E55*12))/'Mina Produktionsnyckeltal'!D$6,0)</f>
        <v>1.825</v>
      </c>
      <c r="H55" s="26"/>
      <c r="I55" s="98"/>
    </row>
    <row r="56" spans="1:9" ht="24.95" customHeight="1" thickTop="1" thickBot="1" x14ac:dyDescent="0.3">
      <c r="A56" s="103"/>
      <c r="B56" s="109" t="s">
        <v>113</v>
      </c>
      <c r="C56" s="328" t="s">
        <v>176</v>
      </c>
      <c r="D56" s="329"/>
      <c r="E56" s="263">
        <v>2</v>
      </c>
      <c r="F56" s="306">
        <f t="shared" ref="F56:F57" si="2">G56*$G$53</f>
        <v>78</v>
      </c>
      <c r="G56" s="304">
        <f>IFERROR(IF(C56="Tid per dag",E56*365,IF(C56="Tid per vecka",E56*52,E56*12))/'Mina Produktionsnyckeltal'!D$6,0)</f>
        <v>0.26</v>
      </c>
      <c r="H56" s="26"/>
      <c r="I56" s="127"/>
    </row>
    <row r="57" spans="1:9" s="28" customFormat="1" ht="24.95" customHeight="1" thickTop="1" thickBot="1" x14ac:dyDescent="0.3">
      <c r="A57" s="103"/>
      <c r="B57" s="109" t="s">
        <v>64</v>
      </c>
      <c r="C57" s="328" t="s">
        <v>176</v>
      </c>
      <c r="D57" s="329"/>
      <c r="E57" s="263">
        <v>2</v>
      </c>
      <c r="F57" s="306">
        <f t="shared" si="2"/>
        <v>78</v>
      </c>
      <c r="G57" s="304">
        <f>IFERROR(IF(C57="Tid per dag",E57*365,IF(C57="Tid per vecka",E57*52,E57*12))/'Mina Produktionsnyckeltal'!D$6,0)</f>
        <v>0.26</v>
      </c>
      <c r="H57" s="17"/>
      <c r="I57" s="127"/>
    </row>
    <row r="58" spans="1:9" ht="24.95" customHeight="1" thickTop="1" thickBot="1" x14ac:dyDescent="0.3">
      <c r="A58" s="42"/>
      <c r="B58" s="113" t="s">
        <v>67</v>
      </c>
      <c r="C58" s="113"/>
      <c r="D58" s="114"/>
      <c r="E58" s="114"/>
      <c r="F58" s="307">
        <f>SUM(F55:F57)</f>
        <v>703.5</v>
      </c>
      <c r="G58" s="305">
        <f>SUM(G55:G57)</f>
        <v>2.3449999999999998</v>
      </c>
      <c r="H58" s="26"/>
      <c r="I58" s="241"/>
    </row>
    <row r="59" spans="1:9" ht="24.95" customHeight="1" thickTop="1" x14ac:dyDescent="0.25">
      <c r="A59" s="1"/>
      <c r="B59" s="26"/>
      <c r="C59" s="26"/>
      <c r="D59" s="26"/>
      <c r="E59" s="26"/>
      <c r="F59" s="26"/>
      <c r="G59" s="26"/>
      <c r="H59" s="26"/>
      <c r="I59" s="26"/>
    </row>
    <row r="60" spans="1:9" ht="24.95" customHeight="1" x14ac:dyDescent="0.25">
      <c r="A60" s="1"/>
      <c r="B60" s="26"/>
      <c r="C60" s="26"/>
      <c r="D60" s="26"/>
      <c r="G60" s="25"/>
      <c r="H60" s="26"/>
      <c r="I60" s="26"/>
    </row>
    <row r="61" spans="1:9" ht="24.95" customHeight="1" thickBot="1" x14ac:dyDescent="0.3">
      <c r="A61" s="1"/>
      <c r="B61" s="26"/>
      <c r="C61" s="26"/>
      <c r="D61" s="26"/>
      <c r="F61" s="326"/>
      <c r="G61" s="326"/>
      <c r="H61" s="26"/>
      <c r="I61" s="26"/>
    </row>
    <row r="62" spans="1:9" ht="24.95" customHeight="1" thickTop="1" x14ac:dyDescent="0.25">
      <c r="B62" s="26"/>
      <c r="C62" s="26"/>
      <c r="D62" s="26"/>
      <c r="G62" s="25"/>
    </row>
    <row r="63" spans="1:9" ht="24.95" customHeight="1" x14ac:dyDescent="0.25">
      <c r="G63" s="24"/>
    </row>
    <row r="64" spans="1:9" ht="24.95" customHeight="1" x14ac:dyDescent="0.25">
      <c r="G64" s="24"/>
    </row>
    <row r="65" spans="7:7" ht="24.95" customHeight="1" x14ac:dyDescent="0.25">
      <c r="G65" s="24"/>
    </row>
    <row r="66" spans="7:7" x14ac:dyDescent="0.25">
      <c r="G66" s="24"/>
    </row>
    <row r="67" spans="7:7" x14ac:dyDescent="0.25">
      <c r="G67" s="24"/>
    </row>
  </sheetData>
  <sheetProtection algorithmName="SHA-512" hashValue="QxN0w+R7z9lLhNge5wAEsvjpmyWghY8JYThOJggqCRxGdciWSNBgOAJxAfTamBOPzB3doqt9Lb6BWgBrUy94dw==" saltValue="qvw4OShSw8ArUDDxBetjIg==" spinCount="100000" sheet="1" selectLockedCells="1"/>
  <mergeCells count="22">
    <mergeCell ref="D16:E16"/>
    <mergeCell ref="D17:E17"/>
    <mergeCell ref="I46:I47"/>
    <mergeCell ref="D18:E18"/>
    <mergeCell ref="D21:E21"/>
    <mergeCell ref="D22:E22"/>
    <mergeCell ref="D23:E23"/>
    <mergeCell ref="D24:E24"/>
    <mergeCell ref="B5:B6"/>
    <mergeCell ref="B4:G4"/>
    <mergeCell ref="B3:G3"/>
    <mergeCell ref="C1:D1"/>
    <mergeCell ref="D15:E15"/>
    <mergeCell ref="F61:G61"/>
    <mergeCell ref="C47:D47"/>
    <mergeCell ref="C48:D48"/>
    <mergeCell ref="C49:D49"/>
    <mergeCell ref="C50:D50"/>
    <mergeCell ref="C55:D55"/>
    <mergeCell ref="C56:D56"/>
    <mergeCell ref="C57:D57"/>
    <mergeCell ref="C54:D54"/>
  </mergeCells>
  <phoneticPr fontId="0" type="noConversion"/>
  <dataValidations count="1">
    <dataValidation type="list" allowBlank="1" showInputMessage="1" showErrorMessage="1" sqref="C55:D57 C48:D50" xr:uid="{00000000-0002-0000-0300-000000000000}">
      <formula1>"Tid per dag,Tid per vecka, Tid per månad"</formula1>
    </dataValidation>
  </dataValidations>
  <printOptions horizontalCentered="1"/>
  <pageMargins left="0.70866141732283472" right="0.70866141732283472" top="0.35433070866141736" bottom="0.15748031496062992" header="0.31496062992125984" footer="0.51181102362204722"/>
  <pageSetup paperSize="9" scale="62" fitToHeight="3" orientation="landscape" r:id="rId1"/>
  <rowBreaks count="1" manualBreakCount="1">
    <brk id="32" min="1" max="8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indexed="57"/>
  </sheetPr>
  <dimension ref="B1:Y264"/>
  <sheetViews>
    <sheetView showGridLines="0" zoomScaleNormal="100" workbookViewId="0">
      <pane ySplit="3" topLeftCell="A46" activePane="bottomLeft" state="frozen"/>
      <selection activeCell="R21" sqref="R21"/>
      <selection pane="bottomLeft" activeCell="E51" sqref="E51"/>
    </sheetView>
  </sheetViews>
  <sheetFormatPr defaultColWidth="9.140625" defaultRowHeight="15" x14ac:dyDescent="0.25"/>
  <cols>
    <col min="1" max="1" width="4.28515625" style="2" customWidth="1"/>
    <col min="2" max="2" width="35.140625" style="2" customWidth="1"/>
    <col min="3" max="3" width="6" style="2" customWidth="1"/>
    <col min="4" max="4" width="8.85546875" style="2" customWidth="1"/>
    <col min="5" max="5" width="12.7109375" style="37" customWidth="1"/>
    <col min="6" max="6" width="15.42578125" style="37" customWidth="1"/>
    <col min="7" max="8" width="13.7109375" style="30" customWidth="1"/>
    <col min="9" max="9" width="15.85546875" style="30" customWidth="1"/>
    <col min="10" max="10" width="9.140625" style="258" customWidth="1"/>
    <col min="11" max="12" width="9.140625" style="2" customWidth="1"/>
    <col min="13" max="13" width="9.140625" style="37" customWidth="1"/>
    <col min="14" max="15" width="9.140625" style="43" customWidth="1"/>
    <col min="16" max="16" width="9.140625" style="47" customWidth="1"/>
    <col min="17" max="18" width="9.140625" style="2" customWidth="1"/>
    <col min="19" max="16384" width="9.140625" style="2"/>
  </cols>
  <sheetData>
    <row r="1" spans="2:25" s="101" customFormat="1" ht="30" customHeight="1" x14ac:dyDescent="0.25">
      <c r="C1" s="334"/>
      <c r="D1" s="334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2:25" s="103" customFormat="1" ht="38.25" customHeight="1" x14ac:dyDescent="0.2">
      <c r="D2" s="104"/>
      <c r="J2" s="257"/>
    </row>
    <row r="3" spans="2:25" ht="21" x14ac:dyDescent="0.35">
      <c r="B3" s="333" t="s">
        <v>190</v>
      </c>
      <c r="C3" s="333"/>
      <c r="D3" s="333"/>
      <c r="E3" s="333"/>
      <c r="F3" s="333"/>
      <c r="G3" s="333"/>
      <c r="H3" s="333"/>
      <c r="I3" s="333"/>
      <c r="K3" s="29"/>
    </row>
    <row r="4" spans="2:25" ht="60.75" customHeight="1" x14ac:dyDescent="0.25"/>
    <row r="5" spans="2:25" ht="30" customHeight="1" thickBot="1" x14ac:dyDescent="0.3">
      <c r="B5" s="284" t="s">
        <v>191</v>
      </c>
      <c r="E5" s="59"/>
      <c r="F5" s="59"/>
      <c r="M5" s="59"/>
    </row>
    <row r="6" spans="2:25" ht="25.5" customHeight="1" thickBot="1" x14ac:dyDescent="0.3">
      <c r="B6" s="298" t="s">
        <v>192</v>
      </c>
      <c r="C6" s="346">
        <v>400</v>
      </c>
      <c r="D6" s="347"/>
      <c r="E6" s="310" t="s">
        <v>193</v>
      </c>
      <c r="F6" s="59"/>
      <c r="M6" s="59"/>
    </row>
    <row r="7" spans="2:25" ht="25.5" customHeight="1" x14ac:dyDescent="0.25">
      <c r="B7" s="31"/>
      <c r="C7" s="31"/>
      <c r="E7" s="59"/>
      <c r="F7" s="59"/>
      <c r="M7" s="59"/>
    </row>
    <row r="8" spans="2:25" ht="30" customHeight="1" thickBot="1" x14ac:dyDescent="0.35">
      <c r="B8" s="140" t="s">
        <v>0</v>
      </c>
      <c r="C8" s="344" t="s">
        <v>11</v>
      </c>
      <c r="D8" s="344"/>
      <c r="E8" s="119" t="s">
        <v>17</v>
      </c>
      <c r="F8" s="119" t="s">
        <v>18</v>
      </c>
      <c r="G8" s="119" t="s">
        <v>194</v>
      </c>
      <c r="H8" s="50" t="s">
        <v>195</v>
      </c>
      <c r="I8" s="267" t="s">
        <v>196</v>
      </c>
      <c r="K8" s="48"/>
      <c r="L8" s="49"/>
      <c r="M8" s="50"/>
      <c r="N8" s="51"/>
      <c r="O8" s="51"/>
      <c r="P8" s="52"/>
    </row>
    <row r="9" spans="2:25" s="91" customFormat="1" ht="25.5" customHeight="1" thickTop="1" thickBot="1" x14ac:dyDescent="0.3">
      <c r="B9" s="109" t="s">
        <v>1</v>
      </c>
      <c r="C9" s="135" t="s">
        <v>193</v>
      </c>
      <c r="D9" s="136"/>
      <c r="E9" s="244">
        <f>'Mina Produktionsnyckeltal'!D25</f>
        <v>27.5</v>
      </c>
      <c r="F9" s="287">
        <v>750</v>
      </c>
      <c r="G9" s="278">
        <f>E9*F9</f>
        <v>20625</v>
      </c>
      <c r="H9" s="292">
        <f>G9/$E$9</f>
        <v>750</v>
      </c>
      <c r="I9" s="292">
        <f>G9*$C$6</f>
        <v>8250000</v>
      </c>
      <c r="J9" s="256"/>
      <c r="K9" s="57"/>
      <c r="L9" s="57"/>
      <c r="M9" s="147"/>
      <c r="N9" s="148"/>
      <c r="O9" s="148"/>
      <c r="P9" s="149"/>
    </row>
    <row r="10" spans="2:25" s="91" customFormat="1" ht="25.5" customHeight="1" thickTop="1" thickBot="1" x14ac:dyDescent="0.3">
      <c r="B10" s="109" t="s">
        <v>91</v>
      </c>
      <c r="C10" s="135" t="s">
        <v>146</v>
      </c>
      <c r="D10" s="136"/>
      <c r="E10" s="244">
        <f>'Mina Produktionsnyckeltal'!D25</f>
        <v>27.5</v>
      </c>
      <c r="F10" s="287">
        <v>50</v>
      </c>
      <c r="G10" s="278">
        <f>E10*F10</f>
        <v>1375</v>
      </c>
      <c r="H10" s="292">
        <f>G10/$E$9</f>
        <v>50</v>
      </c>
      <c r="I10" s="292">
        <f t="shared" ref="I10:I13" si="0">G10*$C$6</f>
        <v>550000</v>
      </c>
      <c r="J10" s="256"/>
      <c r="K10" s="150"/>
      <c r="L10" s="57"/>
      <c r="M10" s="147"/>
      <c r="N10" s="151"/>
      <c r="O10" s="149"/>
      <c r="P10" s="152"/>
    </row>
    <row r="11" spans="2:25" s="91" customFormat="1" ht="25.5" customHeight="1" thickTop="1" thickBot="1" x14ac:dyDescent="0.3">
      <c r="B11" s="109" t="s">
        <v>16</v>
      </c>
      <c r="C11" s="135" t="s">
        <v>193</v>
      </c>
      <c r="D11" s="136"/>
      <c r="E11" s="137">
        <f>'Mina Produktionsnyckeltal'!D12</f>
        <v>0.52500000000000002</v>
      </c>
      <c r="F11" s="287">
        <v>1800</v>
      </c>
      <c r="G11" s="278">
        <f>E11*F11</f>
        <v>945</v>
      </c>
      <c r="H11" s="292">
        <f>G11/$E$9</f>
        <v>34.363636363636367</v>
      </c>
      <c r="I11" s="292">
        <f t="shared" si="0"/>
        <v>378000</v>
      </c>
      <c r="J11" s="256"/>
      <c r="K11" s="57"/>
      <c r="L11" s="153"/>
      <c r="M11" s="147"/>
      <c r="N11" s="148"/>
      <c r="O11" s="149"/>
      <c r="P11" s="154"/>
    </row>
    <row r="12" spans="2:25" s="91" customFormat="1" ht="25.5" customHeight="1" thickTop="1" thickBot="1" x14ac:dyDescent="0.3">
      <c r="B12" s="109" t="s">
        <v>32</v>
      </c>
      <c r="C12" s="135" t="s">
        <v>213</v>
      </c>
      <c r="D12" s="136"/>
      <c r="E12" s="309">
        <v>8</v>
      </c>
      <c r="F12" s="287">
        <v>19</v>
      </c>
      <c r="G12" s="278">
        <f>E12*F12</f>
        <v>152</v>
      </c>
      <c r="H12" s="292">
        <f>G12/$E$9</f>
        <v>5.5272727272727273</v>
      </c>
      <c r="I12" s="292">
        <f t="shared" si="0"/>
        <v>60800</v>
      </c>
      <c r="J12" s="256"/>
      <c r="K12" s="56"/>
      <c r="L12" s="57"/>
      <c r="M12" s="147"/>
      <c r="N12" s="148"/>
      <c r="O12" s="149"/>
      <c r="P12" s="154"/>
    </row>
    <row r="13" spans="2:25" s="91" customFormat="1" ht="25.5" customHeight="1" thickTop="1" thickBot="1" x14ac:dyDescent="0.3">
      <c r="B13" s="109" t="s">
        <v>118</v>
      </c>
      <c r="C13" s="135" t="s">
        <v>146</v>
      </c>
      <c r="D13" s="136"/>
      <c r="E13" s="188"/>
      <c r="F13" s="288"/>
      <c r="G13" s="279">
        <v>1000</v>
      </c>
      <c r="H13" s="292">
        <f>G13/$E$9</f>
        <v>36.363636363636367</v>
      </c>
      <c r="I13" s="292">
        <f t="shared" si="0"/>
        <v>400000</v>
      </c>
      <c r="J13" s="256"/>
      <c r="K13" s="57"/>
      <c r="L13" s="57"/>
      <c r="M13" s="57"/>
      <c r="N13" s="148"/>
      <c r="O13" s="149"/>
      <c r="P13" s="149"/>
    </row>
    <row r="14" spans="2:25" s="91" customFormat="1" ht="25.5" customHeight="1" thickTop="1" thickBot="1" x14ac:dyDescent="0.3">
      <c r="B14" s="178" t="s">
        <v>28</v>
      </c>
      <c r="C14" s="179"/>
      <c r="D14" s="179"/>
      <c r="E14" s="180"/>
      <c r="F14" s="180"/>
      <c r="G14" s="293">
        <f>SUM(G9:G13)</f>
        <v>24097</v>
      </c>
      <c r="H14" s="293">
        <f>SUM(H9:H13)</f>
        <v>876.25454545454545</v>
      </c>
      <c r="I14" s="293">
        <f>SUM(I9:I13)</f>
        <v>9638800</v>
      </c>
      <c r="J14" s="256"/>
      <c r="K14" s="158"/>
      <c r="L14" s="57"/>
      <c r="M14" s="57"/>
      <c r="N14" s="148"/>
      <c r="O14" s="149"/>
      <c r="P14" s="149"/>
    </row>
    <row r="15" spans="2:25" s="91" customFormat="1" ht="25.5" customHeight="1" thickTop="1" x14ac:dyDescent="0.25">
      <c r="E15" s="156"/>
      <c r="F15" s="156"/>
      <c r="G15" s="146"/>
      <c r="H15" s="146"/>
      <c r="I15" s="146"/>
      <c r="J15" s="256"/>
      <c r="K15" s="57"/>
      <c r="L15" s="57"/>
      <c r="M15" s="147"/>
      <c r="N15" s="159"/>
      <c r="O15" s="149"/>
      <c r="P15" s="149"/>
    </row>
    <row r="16" spans="2:25" s="91" customFormat="1" ht="30" customHeight="1" thickBot="1" x14ac:dyDescent="0.25">
      <c r="B16" s="140" t="s">
        <v>234</v>
      </c>
      <c r="C16" s="344" t="s">
        <v>11</v>
      </c>
      <c r="D16" s="344"/>
      <c r="E16" s="119" t="s">
        <v>17</v>
      </c>
      <c r="F16" s="119" t="s">
        <v>18</v>
      </c>
      <c r="G16" s="119" t="s">
        <v>194</v>
      </c>
      <c r="H16" s="50" t="s">
        <v>195</v>
      </c>
      <c r="I16" s="267" t="s">
        <v>196</v>
      </c>
      <c r="J16" s="256"/>
      <c r="K16" s="150"/>
      <c r="L16" s="150"/>
      <c r="M16" s="160"/>
      <c r="N16" s="161"/>
      <c r="O16" s="152"/>
      <c r="P16" s="152"/>
    </row>
    <row r="17" spans="2:16" s="91" customFormat="1" ht="25.5" customHeight="1" thickTop="1" thickBot="1" x14ac:dyDescent="0.3">
      <c r="B17" s="109" t="s">
        <v>133</v>
      </c>
      <c r="C17" s="135" t="s">
        <v>193</v>
      </c>
      <c r="D17" s="136"/>
      <c r="E17" s="141">
        <f>'Mina Produktionsnyckeltal'!D11</f>
        <v>0.61250000000000004</v>
      </c>
      <c r="F17" s="254">
        <v>1600</v>
      </c>
      <c r="G17" s="289">
        <f t="shared" ref="G17:G24" si="1">E17*F17</f>
        <v>980.00000000000011</v>
      </c>
      <c r="H17" s="292">
        <f>G17/$E$9</f>
        <v>35.63636363636364</v>
      </c>
      <c r="I17" s="292">
        <f>G17*$C$6</f>
        <v>392000.00000000006</v>
      </c>
      <c r="J17" s="256"/>
      <c r="K17" s="57"/>
      <c r="L17" s="57"/>
      <c r="M17" s="147"/>
      <c r="N17" s="159"/>
      <c r="O17" s="149"/>
      <c r="P17" s="149"/>
    </row>
    <row r="18" spans="2:16" s="91" customFormat="1" ht="25.5" customHeight="1" thickTop="1" thickBot="1" x14ac:dyDescent="0.3">
      <c r="B18" s="109" t="s">
        <v>168</v>
      </c>
      <c r="C18" s="135" t="s">
        <v>119</v>
      </c>
      <c r="D18" s="136"/>
      <c r="E18" s="142">
        <f>'Mina Produktionsnyckeltal'!J6</f>
        <v>7400</v>
      </c>
      <c r="F18" s="138">
        <f>'Mina Produktionsnyckeltal'!J10/100</f>
        <v>0.28125</v>
      </c>
      <c r="G18" s="289">
        <f t="shared" si="1"/>
        <v>2081.25</v>
      </c>
      <c r="H18" s="292">
        <f t="shared" ref="H18:H33" si="2">G18/$E$9</f>
        <v>75.681818181818187</v>
      </c>
      <c r="I18" s="292">
        <f t="shared" ref="I18:I33" si="3">G18*$C$6</f>
        <v>832500</v>
      </c>
      <c r="J18" s="256"/>
      <c r="K18" s="57"/>
      <c r="L18" s="153"/>
      <c r="M18" s="147"/>
      <c r="N18" s="148"/>
      <c r="O18" s="149"/>
      <c r="P18" s="154"/>
    </row>
    <row r="19" spans="2:16" s="91" customFormat="1" ht="25.5" customHeight="1" thickTop="1" thickBot="1" x14ac:dyDescent="0.3">
      <c r="B19" s="109" t="s">
        <v>169</v>
      </c>
      <c r="C19" s="135" t="s">
        <v>119</v>
      </c>
      <c r="D19" s="136"/>
      <c r="E19" s="142">
        <f>'Mina Produktionsnyckeltal'!J14</f>
        <v>7400</v>
      </c>
      <c r="F19" s="138">
        <f>'Mina Produktionsnyckeltal'!J18/100</f>
        <v>0.27127659574468077</v>
      </c>
      <c r="G19" s="289">
        <f t="shared" si="1"/>
        <v>2007.4468085106378</v>
      </c>
      <c r="H19" s="292">
        <f t="shared" si="2"/>
        <v>72.998065764023195</v>
      </c>
      <c r="I19" s="292">
        <f t="shared" si="3"/>
        <v>802978.72340425511</v>
      </c>
      <c r="J19" s="256"/>
      <c r="K19" s="57"/>
      <c r="L19" s="57"/>
      <c r="M19" s="147"/>
      <c r="N19" s="148"/>
      <c r="O19" s="149"/>
      <c r="P19" s="149"/>
    </row>
    <row r="20" spans="2:16" s="91" customFormat="1" ht="25.5" customHeight="1" thickTop="1" thickBot="1" x14ac:dyDescent="0.3">
      <c r="B20" s="109" t="s">
        <v>170</v>
      </c>
      <c r="C20" s="135" t="s">
        <v>119</v>
      </c>
      <c r="D20" s="136"/>
      <c r="E20" s="142">
        <f>'Mina Produktionsnyckeltal'!J23</f>
        <v>90</v>
      </c>
      <c r="F20" s="138">
        <f>'Mina Produktionsnyckeltal'!J27/100</f>
        <v>0.51020408163265296</v>
      </c>
      <c r="G20" s="289">
        <f t="shared" si="1"/>
        <v>45.918367346938766</v>
      </c>
      <c r="H20" s="292">
        <f t="shared" si="2"/>
        <v>1.669758812615955</v>
      </c>
      <c r="I20" s="292">
        <f t="shared" si="3"/>
        <v>18367.346938775507</v>
      </c>
      <c r="J20" s="256"/>
      <c r="K20" s="158"/>
      <c r="L20" s="57"/>
      <c r="M20" s="147"/>
      <c r="N20" s="148"/>
      <c r="O20" s="149"/>
      <c r="P20" s="149"/>
    </row>
    <row r="21" spans="2:16" s="91" customFormat="1" ht="25.5" customHeight="1" thickTop="1" thickBot="1" x14ac:dyDescent="0.3">
      <c r="B21" s="109" t="s">
        <v>171</v>
      </c>
      <c r="C21" s="135" t="s">
        <v>119</v>
      </c>
      <c r="D21" s="136"/>
      <c r="E21" s="142">
        <f>'Mina Produktionsnyckeltal'!J31</f>
        <v>300</v>
      </c>
      <c r="F21" s="138">
        <f>'Mina Produktionsnyckeltal'!J35/100</f>
        <v>0.41237113402061859</v>
      </c>
      <c r="G21" s="289">
        <f>E21*F21</f>
        <v>123.71134020618558</v>
      </c>
      <c r="H21" s="292">
        <f t="shared" si="2"/>
        <v>4.4985941893158392</v>
      </c>
      <c r="I21" s="292">
        <f t="shared" si="3"/>
        <v>49484.536082474231</v>
      </c>
      <c r="J21" s="299">
        <f>G20+G21</f>
        <v>169.62970755312435</v>
      </c>
      <c r="K21" s="57"/>
      <c r="L21" s="57"/>
      <c r="M21" s="57"/>
      <c r="N21" s="163"/>
      <c r="O21" s="149"/>
      <c r="P21" s="149"/>
    </row>
    <row r="22" spans="2:16" s="91" customFormat="1" ht="25.5" customHeight="1" thickTop="1" thickBot="1" x14ac:dyDescent="0.3">
      <c r="B22" s="109" t="s">
        <v>172</v>
      </c>
      <c r="C22" s="135" t="s">
        <v>119</v>
      </c>
      <c r="D22" s="136"/>
      <c r="E22" s="142">
        <f>'Mina Produktionsnyckeltal'!J7</f>
        <v>0</v>
      </c>
      <c r="F22" s="138">
        <f>'Mina Produktionsnyckeltal'!J10/100</f>
        <v>0.28125</v>
      </c>
      <c r="G22" s="289">
        <f>E22*F22</f>
        <v>0</v>
      </c>
      <c r="H22" s="292">
        <f t="shared" si="2"/>
        <v>0</v>
      </c>
      <c r="I22" s="292">
        <f t="shared" si="3"/>
        <v>0</v>
      </c>
      <c r="J22" s="256"/>
      <c r="K22" s="57"/>
      <c r="L22" s="57"/>
      <c r="M22" s="57"/>
      <c r="N22" s="149"/>
      <c r="O22" s="148"/>
      <c r="P22" s="149"/>
    </row>
    <row r="23" spans="2:16" s="91" customFormat="1" ht="25.5" customHeight="1" thickTop="1" thickBot="1" x14ac:dyDescent="0.3">
      <c r="B23" s="109" t="s">
        <v>173</v>
      </c>
      <c r="C23" s="135" t="s">
        <v>119</v>
      </c>
      <c r="D23" s="136"/>
      <c r="E23" s="142">
        <f>'Mina Produktionsnyckeltal'!J15</f>
        <v>0</v>
      </c>
      <c r="F23" s="138">
        <f>'Mina Produktionsnyckeltal'!J18/100</f>
        <v>0.27127659574468077</v>
      </c>
      <c r="G23" s="289">
        <f t="shared" si="1"/>
        <v>0</v>
      </c>
      <c r="H23" s="292">
        <f t="shared" si="2"/>
        <v>0</v>
      </c>
      <c r="I23" s="292">
        <f t="shared" si="3"/>
        <v>0</v>
      </c>
      <c r="J23" s="256"/>
      <c r="K23" s="57"/>
      <c r="L23" s="57"/>
      <c r="M23" s="57"/>
      <c r="N23" s="149"/>
      <c r="O23" s="148"/>
      <c r="P23" s="149"/>
    </row>
    <row r="24" spans="2:16" s="91" customFormat="1" ht="25.5" customHeight="1" thickTop="1" thickBot="1" x14ac:dyDescent="0.3">
      <c r="B24" s="109" t="s">
        <v>174</v>
      </c>
      <c r="C24" s="135" t="s">
        <v>119</v>
      </c>
      <c r="D24" s="136"/>
      <c r="E24" s="142">
        <f>'Mina Produktionsnyckeltal'!J24</f>
        <v>0</v>
      </c>
      <c r="F24" s="138">
        <f>'Mina Produktionsnyckeltal'!J27/100</f>
        <v>0.51020408163265296</v>
      </c>
      <c r="G24" s="289">
        <f t="shared" si="1"/>
        <v>0</v>
      </c>
      <c r="H24" s="292">
        <f t="shared" si="2"/>
        <v>0</v>
      </c>
      <c r="I24" s="292">
        <f t="shared" si="3"/>
        <v>0</v>
      </c>
      <c r="J24" s="256"/>
      <c r="K24" s="57"/>
      <c r="L24" s="57"/>
      <c r="M24" s="57"/>
      <c r="N24" s="149"/>
      <c r="O24" s="148"/>
      <c r="P24" s="149"/>
    </row>
    <row r="25" spans="2:16" s="91" customFormat="1" ht="25.5" customHeight="1" thickTop="1" thickBot="1" x14ac:dyDescent="0.3">
      <c r="B25" s="109" t="s">
        <v>175</v>
      </c>
      <c r="C25" s="135" t="s">
        <v>119</v>
      </c>
      <c r="D25" s="136"/>
      <c r="E25" s="142">
        <f>'Mina Produktionsnyckeltal'!J32</f>
        <v>0</v>
      </c>
      <c r="F25" s="138">
        <f>'Mina Produktionsnyckeltal'!J35/100</f>
        <v>0.41237113402061859</v>
      </c>
      <c r="G25" s="289">
        <f>E25*F25</f>
        <v>0</v>
      </c>
      <c r="H25" s="292">
        <f t="shared" si="2"/>
        <v>0</v>
      </c>
      <c r="I25" s="292">
        <f t="shared" si="3"/>
        <v>0</v>
      </c>
      <c r="J25" s="299">
        <f>G24+G25</f>
        <v>0</v>
      </c>
      <c r="K25" s="57"/>
      <c r="L25" s="57"/>
      <c r="M25" s="57"/>
      <c r="N25" s="149"/>
      <c r="O25" s="148"/>
      <c r="P25" s="149"/>
    </row>
    <row r="26" spans="2:16" s="91" customFormat="1" ht="25.5" customHeight="1" thickTop="1" thickBot="1" x14ac:dyDescent="0.3">
      <c r="B26" s="109" t="s">
        <v>3</v>
      </c>
      <c r="C26" s="135" t="s">
        <v>238</v>
      </c>
      <c r="D26" s="136"/>
      <c r="E26" s="181">
        <f>IFERROR((SUM('Mitt ekonomiska underlag'!D28:D30))/'Mina Produktionsnyckeltal'!D6,0)</f>
        <v>52.502499999999998</v>
      </c>
      <c r="F26" s="138">
        <f>IFERROR('Mitt ekonomiska underlag'!F31/(SUM('Mitt ekonomiska underlag'!D28:D30)),0)</f>
        <v>1.1666111137564878</v>
      </c>
      <c r="G26" s="289">
        <f>E26*F26</f>
        <v>61.25</v>
      </c>
      <c r="H26" s="292">
        <f t="shared" si="2"/>
        <v>2.2272727272727271</v>
      </c>
      <c r="I26" s="292">
        <f t="shared" si="3"/>
        <v>24500</v>
      </c>
      <c r="J26" s="256"/>
      <c r="K26" s="57"/>
      <c r="L26" s="57"/>
      <c r="M26" s="57"/>
      <c r="N26" s="149"/>
      <c r="O26" s="148"/>
      <c r="P26" s="149"/>
    </row>
    <row r="27" spans="2:16" s="91" customFormat="1" ht="25.5" customHeight="1" thickTop="1" thickBot="1" x14ac:dyDescent="0.3">
      <c r="B27" s="109" t="s">
        <v>107</v>
      </c>
      <c r="C27" s="135" t="s">
        <v>146</v>
      </c>
      <c r="D27" s="136"/>
      <c r="E27" s="182"/>
      <c r="F27" s="183"/>
      <c r="G27" s="289">
        <f>'Mitt ekonomiska underlag'!G13</f>
        <v>225</v>
      </c>
      <c r="H27" s="292">
        <f t="shared" si="2"/>
        <v>8.1818181818181817</v>
      </c>
      <c r="I27" s="292">
        <f t="shared" si="3"/>
        <v>90000</v>
      </c>
      <c r="J27" s="256"/>
      <c r="K27" s="57"/>
      <c r="L27" s="57"/>
      <c r="M27" s="57"/>
      <c r="N27" s="149"/>
      <c r="O27" s="148"/>
      <c r="P27" s="149"/>
    </row>
    <row r="28" spans="2:16" s="91" customFormat="1" ht="25.5" customHeight="1" thickTop="1" thickBot="1" x14ac:dyDescent="0.3">
      <c r="B28" s="109" t="s">
        <v>114</v>
      </c>
      <c r="C28" s="135" t="s">
        <v>146</v>
      </c>
      <c r="D28" s="136"/>
      <c r="E28" s="182"/>
      <c r="F28" s="183"/>
      <c r="G28" s="289">
        <f>'Mitt ekonomiska underlag'!G19</f>
        <v>262.5</v>
      </c>
      <c r="H28" s="292">
        <f t="shared" si="2"/>
        <v>9.545454545454545</v>
      </c>
      <c r="I28" s="292">
        <f t="shared" si="3"/>
        <v>105000</v>
      </c>
      <c r="J28" s="256"/>
      <c r="K28" s="57"/>
      <c r="L28" s="57"/>
      <c r="M28" s="57"/>
      <c r="N28" s="149"/>
      <c r="O28" s="148"/>
      <c r="P28" s="149"/>
    </row>
    <row r="29" spans="2:16" s="91" customFormat="1" ht="25.5" customHeight="1" thickTop="1" thickBot="1" x14ac:dyDescent="0.3">
      <c r="B29" s="109" t="s">
        <v>132</v>
      </c>
      <c r="C29" s="135" t="s">
        <v>146</v>
      </c>
      <c r="D29" s="136"/>
      <c r="E29" s="182"/>
      <c r="F29" s="183"/>
      <c r="G29" s="289">
        <f>'Mitt ekonomiska underlag'!G25</f>
        <v>87.5</v>
      </c>
      <c r="H29" s="292">
        <f t="shared" si="2"/>
        <v>3.1818181818181817</v>
      </c>
      <c r="I29" s="292">
        <f t="shared" si="3"/>
        <v>35000</v>
      </c>
      <c r="J29" s="256"/>
      <c r="K29" s="57"/>
      <c r="L29" s="57"/>
      <c r="M29" s="57"/>
      <c r="N29" s="149"/>
      <c r="O29" s="148"/>
      <c r="P29" s="149"/>
    </row>
    <row r="30" spans="2:16" s="91" customFormat="1" ht="25.5" customHeight="1" thickTop="1" thickBot="1" x14ac:dyDescent="0.3">
      <c r="B30" s="109" t="s">
        <v>179</v>
      </c>
      <c r="C30" s="135" t="s">
        <v>193</v>
      </c>
      <c r="D30" s="136"/>
      <c r="E30" s="244">
        <f>IFERROR('Mina Produktionsnyckeltal'!D16/'Mina Produktionsnyckeltal'!D6,0)</f>
        <v>2.2000000000000002</v>
      </c>
      <c r="F30" s="254">
        <v>145</v>
      </c>
      <c r="G30" s="289">
        <f>E30*F30</f>
        <v>319</v>
      </c>
      <c r="H30" s="292">
        <f t="shared" si="2"/>
        <v>11.6</v>
      </c>
      <c r="I30" s="292">
        <f t="shared" si="3"/>
        <v>127600</v>
      </c>
      <c r="J30" s="256"/>
      <c r="K30" s="57"/>
      <c r="L30" s="57"/>
      <c r="M30" s="57"/>
      <c r="N30" s="149"/>
      <c r="O30" s="148"/>
      <c r="P30" s="149"/>
    </row>
    <row r="31" spans="2:16" s="91" customFormat="1" ht="25.5" customHeight="1" thickTop="1" thickBot="1" x14ac:dyDescent="0.3">
      <c r="B31" s="109" t="s">
        <v>76</v>
      </c>
      <c r="C31" s="135" t="s">
        <v>146</v>
      </c>
      <c r="D31" s="136"/>
      <c r="E31" s="182"/>
      <c r="F31" s="183"/>
      <c r="G31" s="289">
        <f>'Mitt ekonomiska underlag'!G44</f>
        <v>115</v>
      </c>
      <c r="H31" s="292">
        <f t="shared" si="2"/>
        <v>4.1818181818181817</v>
      </c>
      <c r="I31" s="292">
        <f t="shared" si="3"/>
        <v>46000</v>
      </c>
      <c r="J31" s="256"/>
      <c r="K31" s="57"/>
      <c r="L31" s="57"/>
      <c r="M31" s="57"/>
      <c r="N31" s="149"/>
      <c r="O31" s="149"/>
      <c r="P31" s="149"/>
    </row>
    <row r="32" spans="2:16" s="91" customFormat="1" ht="25.5" customHeight="1" thickTop="1" thickBot="1" x14ac:dyDescent="0.3">
      <c r="B32" s="198" t="s">
        <v>93</v>
      </c>
      <c r="C32" s="342" t="s">
        <v>99</v>
      </c>
      <c r="D32" s="343"/>
      <c r="E32" s="199">
        <v>1</v>
      </c>
      <c r="F32" s="254">
        <v>500</v>
      </c>
      <c r="G32" s="289">
        <f>E32*F32</f>
        <v>500</v>
      </c>
      <c r="H32" s="292">
        <f t="shared" si="2"/>
        <v>18.181818181818183</v>
      </c>
      <c r="I32" s="292">
        <f t="shared" si="3"/>
        <v>200000</v>
      </c>
      <c r="J32" s="256"/>
      <c r="K32" s="57"/>
      <c r="L32" s="57"/>
      <c r="M32" s="57"/>
      <c r="N32" s="149"/>
      <c r="O32" s="149"/>
      <c r="P32" s="149"/>
    </row>
    <row r="33" spans="2:17" s="91" customFormat="1" ht="25.5" customHeight="1" thickTop="1" thickBot="1" x14ac:dyDescent="0.3">
      <c r="B33" s="198" t="s">
        <v>93</v>
      </c>
      <c r="C33" s="342" t="s">
        <v>99</v>
      </c>
      <c r="D33" s="343"/>
      <c r="E33" s="199">
        <v>1</v>
      </c>
      <c r="F33" s="201">
        <v>550</v>
      </c>
      <c r="G33" s="289">
        <f>E33*F33</f>
        <v>550</v>
      </c>
      <c r="H33" s="292">
        <f t="shared" si="2"/>
        <v>20</v>
      </c>
      <c r="I33" s="292">
        <f t="shared" si="3"/>
        <v>220000</v>
      </c>
      <c r="J33" s="256"/>
      <c r="K33" s="57"/>
      <c r="L33" s="57"/>
      <c r="M33" s="57"/>
      <c r="N33" s="149"/>
      <c r="O33" s="149"/>
      <c r="P33" s="149"/>
    </row>
    <row r="34" spans="2:17" s="91" customFormat="1" ht="25.5" customHeight="1" thickTop="1" thickBot="1" x14ac:dyDescent="0.3">
      <c r="B34" s="178" t="s">
        <v>147</v>
      </c>
      <c r="C34" s="179"/>
      <c r="D34" s="179"/>
      <c r="E34" s="180"/>
      <c r="F34" s="180"/>
      <c r="G34" s="293">
        <f>SUM(G17:G33)</f>
        <v>7358.5765160637629</v>
      </c>
      <c r="H34" s="293">
        <f>SUM(H17:H33)</f>
        <v>267.58460058413681</v>
      </c>
      <c r="I34" s="293">
        <f>SUM(I17:I33)</f>
        <v>2943430.6064255051</v>
      </c>
      <c r="J34" s="256"/>
      <c r="K34" s="57"/>
      <c r="L34" s="57"/>
      <c r="M34" s="57"/>
      <c r="N34" s="148"/>
      <c r="O34" s="149"/>
      <c r="P34" s="149"/>
    </row>
    <row r="35" spans="2:17" s="91" customFormat="1" ht="25.5" customHeight="1" thickTop="1" x14ac:dyDescent="0.25">
      <c r="B35" s="271"/>
      <c r="C35" s="259"/>
      <c r="D35" s="259"/>
      <c r="E35" s="272"/>
      <c r="F35" s="272"/>
      <c r="G35" s="273"/>
      <c r="H35" s="273"/>
      <c r="I35" s="273"/>
      <c r="J35" s="256"/>
      <c r="K35" s="266"/>
      <c r="L35" s="266"/>
      <c r="M35" s="266"/>
      <c r="N35" s="148"/>
      <c r="O35" s="149"/>
      <c r="P35" s="149"/>
    </row>
    <row r="36" spans="2:17" s="259" customFormat="1" ht="30" customHeight="1" thickBot="1" x14ac:dyDescent="0.3">
      <c r="B36" s="140" t="s">
        <v>235</v>
      </c>
      <c r="C36" s="345" t="s">
        <v>11</v>
      </c>
      <c r="D36" s="345"/>
      <c r="E36" s="281" t="s">
        <v>17</v>
      </c>
      <c r="F36" s="281" t="s">
        <v>18</v>
      </c>
      <c r="G36" s="281" t="s">
        <v>194</v>
      </c>
      <c r="H36" s="282" t="s">
        <v>195</v>
      </c>
      <c r="I36" s="283" t="s">
        <v>196</v>
      </c>
      <c r="J36" s="256"/>
      <c r="K36" s="274"/>
      <c r="L36" s="274"/>
      <c r="M36" s="274"/>
      <c r="N36" s="275"/>
      <c r="O36" s="276"/>
      <c r="P36" s="276"/>
    </row>
    <row r="37" spans="2:17" s="91" customFormat="1" ht="25.5" customHeight="1" thickTop="1" thickBot="1" x14ac:dyDescent="0.3">
      <c r="B37" s="109" t="s">
        <v>180</v>
      </c>
      <c r="C37" s="135" t="s">
        <v>146</v>
      </c>
      <c r="D37" s="136"/>
      <c r="E37" s="280">
        <v>0.01</v>
      </c>
      <c r="F37" s="110">
        <f>IFERROR(J43+J44,0)</f>
        <v>25000</v>
      </c>
      <c r="G37" s="289">
        <f>F37*E37</f>
        <v>250</v>
      </c>
      <c r="H37" s="292">
        <f t="shared" ref="H37:H39" si="4">G37/$E$9</f>
        <v>9.0909090909090917</v>
      </c>
      <c r="I37" s="292">
        <f t="shared" ref="I37:I39" si="5">G37*$C$6</f>
        <v>100000</v>
      </c>
      <c r="J37" s="256"/>
      <c r="K37" s="57"/>
      <c r="L37" s="57"/>
      <c r="M37" s="57"/>
      <c r="N37" s="164"/>
      <c r="O37" s="149"/>
      <c r="P37" s="149"/>
    </row>
    <row r="38" spans="2:17" s="91" customFormat="1" ht="25.5" customHeight="1" thickTop="1" thickBot="1" x14ac:dyDescent="0.3">
      <c r="B38" s="109" t="s">
        <v>5</v>
      </c>
      <c r="C38" s="135" t="s">
        <v>146</v>
      </c>
      <c r="D38" s="136"/>
      <c r="E38" s="200">
        <v>0.05</v>
      </c>
      <c r="F38" s="110">
        <f>IFERROR(G17+G11,0)</f>
        <v>1925</v>
      </c>
      <c r="G38" s="289">
        <f>F38*E38</f>
        <v>96.25</v>
      </c>
      <c r="H38" s="292">
        <f t="shared" si="4"/>
        <v>3.5</v>
      </c>
      <c r="I38" s="292">
        <f t="shared" si="5"/>
        <v>38500</v>
      </c>
      <c r="J38" s="277"/>
      <c r="K38" s="57"/>
      <c r="L38" s="57"/>
      <c r="M38" s="57"/>
      <c r="N38" s="165"/>
      <c r="O38" s="149"/>
      <c r="P38" s="149"/>
    </row>
    <row r="39" spans="2:17" s="91" customFormat="1" ht="25.5" customHeight="1" thickTop="1" thickBot="1" x14ac:dyDescent="0.3">
      <c r="B39" s="109" t="s">
        <v>6</v>
      </c>
      <c r="C39" s="135" t="s">
        <v>146</v>
      </c>
      <c r="D39" s="136"/>
      <c r="E39" s="200">
        <v>0.05</v>
      </c>
      <c r="F39" s="110">
        <f>IFERROR((G34-G17+G47+G37)*((((G18+G19+J21)/(G18+G19+J21+G22+G23+J25))*0.1)+(((G22+G23+J25)/(G18+G19+J21+G22+G23+J25))*0.25)),0)</f>
        <v>733.20765160637632</v>
      </c>
      <c r="G39" s="289">
        <f>F39*E39</f>
        <v>36.660382580318817</v>
      </c>
      <c r="H39" s="292">
        <f t="shared" si="4"/>
        <v>1.3331048211025025</v>
      </c>
      <c r="I39" s="292">
        <f t="shared" si="5"/>
        <v>14664.153032127528</v>
      </c>
      <c r="J39" s="256"/>
      <c r="K39" s="57"/>
      <c r="L39" s="57"/>
      <c r="M39" s="57"/>
      <c r="N39" s="149"/>
      <c r="O39" s="149"/>
      <c r="P39" s="149"/>
    </row>
    <row r="40" spans="2:17" s="91" customFormat="1" ht="25.5" customHeight="1" thickTop="1" thickBot="1" x14ac:dyDescent="0.3">
      <c r="B40" s="178" t="s">
        <v>197</v>
      </c>
      <c r="C40" s="179"/>
      <c r="D40" s="179"/>
      <c r="E40" s="180"/>
      <c r="F40" s="180"/>
      <c r="G40" s="293">
        <f>SUM(G37:G39)</f>
        <v>382.91038258031881</v>
      </c>
      <c r="H40" s="293">
        <f>SUM(H37:H39)</f>
        <v>13.924013912011594</v>
      </c>
      <c r="I40" s="293">
        <f>SUM(I37:I39)</f>
        <v>153164.15303212753</v>
      </c>
      <c r="J40" s="256"/>
      <c r="K40" s="57"/>
      <c r="L40" s="57"/>
      <c r="M40" s="57"/>
      <c r="N40" s="166"/>
      <c r="O40" s="149"/>
      <c r="P40" s="149"/>
    </row>
    <row r="41" spans="2:17" s="91" customFormat="1" ht="27.75" customHeight="1" thickTop="1" x14ac:dyDescent="0.25">
      <c r="B41" s="155"/>
      <c r="E41" s="156"/>
      <c r="F41" s="156"/>
      <c r="G41" s="157"/>
      <c r="H41" s="157"/>
      <c r="I41" s="157"/>
      <c r="J41" s="256"/>
      <c r="K41" s="57"/>
      <c r="L41" s="57"/>
      <c r="M41" s="57"/>
      <c r="N41" s="159"/>
      <c r="O41" s="149"/>
      <c r="P41" s="149"/>
    </row>
    <row r="42" spans="2:17" s="91" customFormat="1" ht="40.5" customHeight="1" thickBot="1" x14ac:dyDescent="0.25">
      <c r="B42" s="140" t="s">
        <v>236</v>
      </c>
      <c r="D42" s="267" t="s">
        <v>101</v>
      </c>
      <c r="E42" s="50" t="s">
        <v>102</v>
      </c>
      <c r="F42" s="301" t="s">
        <v>243</v>
      </c>
      <c r="G42" s="119" t="s">
        <v>194</v>
      </c>
      <c r="H42" s="50" t="s">
        <v>195</v>
      </c>
      <c r="I42" s="267" t="s">
        <v>196</v>
      </c>
      <c r="J42" s="256"/>
      <c r="K42" s="57"/>
      <c r="L42" s="57"/>
      <c r="M42" s="57"/>
      <c r="N42" s="167"/>
      <c r="O42" s="167"/>
      <c r="P42" s="149"/>
    </row>
    <row r="43" spans="2:17" s="91" customFormat="1" ht="25.5" customHeight="1" thickTop="1" thickBot="1" x14ac:dyDescent="0.3">
      <c r="B43" s="109" t="s">
        <v>198</v>
      </c>
      <c r="C43" s="135" t="s">
        <v>146</v>
      </c>
      <c r="D43" s="199">
        <v>20</v>
      </c>
      <c r="E43" s="200">
        <v>0.05</v>
      </c>
      <c r="F43" s="287">
        <v>5000000</v>
      </c>
      <c r="G43" s="278">
        <f>IFERROR((J43/D43)+(J43*0.5*E43),0)</f>
        <v>937.5</v>
      </c>
      <c r="H43" s="292">
        <f t="shared" ref="H43:H47" si="6">G43/$E$9</f>
        <v>34.090909090909093</v>
      </c>
      <c r="I43" s="292">
        <f t="shared" ref="I43:I47" si="7">G43*$C$6</f>
        <v>375000</v>
      </c>
      <c r="J43" s="300">
        <f>F43/'Mina Produktionsnyckeltal'!$D$6</f>
        <v>12500</v>
      </c>
      <c r="K43" s="57"/>
      <c r="L43" s="153"/>
      <c r="M43" s="147"/>
      <c r="N43" s="148"/>
      <c r="O43" s="148"/>
      <c r="P43" s="154"/>
      <c r="Q43" s="162">
        <f>P43+P18+P11</f>
        <v>0</v>
      </c>
    </row>
    <row r="44" spans="2:17" s="91" customFormat="1" ht="25.5" customHeight="1" thickTop="1" thickBot="1" x14ac:dyDescent="0.3">
      <c r="B44" s="109" t="s">
        <v>100</v>
      </c>
      <c r="C44" s="135" t="s">
        <v>146</v>
      </c>
      <c r="D44" s="199">
        <v>20</v>
      </c>
      <c r="E44" s="200">
        <v>0.05</v>
      </c>
      <c r="F44" s="285">
        <v>5000000</v>
      </c>
      <c r="G44" s="278">
        <f>IFERROR((J44/D44)+(J44*0.5*E44),0)</f>
        <v>937.5</v>
      </c>
      <c r="H44" s="292">
        <f t="shared" si="6"/>
        <v>34.090909090909093</v>
      </c>
      <c r="I44" s="292">
        <f t="shared" si="7"/>
        <v>375000</v>
      </c>
      <c r="J44" s="300">
        <f>F44/'Mina Produktionsnyckeltal'!$D$6</f>
        <v>12500</v>
      </c>
      <c r="K44" s="57"/>
      <c r="L44" s="57"/>
      <c r="M44" s="147"/>
      <c r="N44" s="148"/>
      <c r="O44" s="148"/>
      <c r="P44" s="149"/>
    </row>
    <row r="45" spans="2:17" s="91" customFormat="1" ht="30" customHeight="1" thickTop="1" thickBot="1" x14ac:dyDescent="0.25">
      <c r="B45" s="268"/>
      <c r="C45" s="269"/>
      <c r="D45" s="270"/>
      <c r="E45" s="302" t="s">
        <v>17</v>
      </c>
      <c r="F45" s="303" t="s">
        <v>18</v>
      </c>
      <c r="G45" s="281"/>
      <c r="H45" s="282"/>
      <c r="I45" s="283"/>
      <c r="J45" s="256"/>
      <c r="K45" s="158"/>
      <c r="L45" s="57"/>
      <c r="M45" s="147"/>
      <c r="N45" s="148"/>
      <c r="O45" s="148"/>
      <c r="P45" s="149"/>
    </row>
    <row r="46" spans="2:17" s="91" customFormat="1" ht="25.5" customHeight="1" thickTop="1" thickBot="1" x14ac:dyDescent="0.3">
      <c r="B46" s="109" t="s">
        <v>62</v>
      </c>
      <c r="C46" s="348" t="s">
        <v>8</v>
      </c>
      <c r="D46" s="349"/>
      <c r="E46" s="264">
        <f>'Mitt ekonomiska underlag'!G51</f>
        <v>2.3449999999999998</v>
      </c>
      <c r="F46" s="290">
        <f>'Mitt ekonomiska underlag'!G46</f>
        <v>250</v>
      </c>
      <c r="G46" s="278">
        <f>E46*F46</f>
        <v>586.24999999999989</v>
      </c>
      <c r="H46" s="292">
        <f>G46/$E$9</f>
        <v>21.318181818181813</v>
      </c>
      <c r="I46" s="292">
        <f>G46*$C$6</f>
        <v>234499.99999999994</v>
      </c>
      <c r="J46" s="259"/>
      <c r="K46" s="57"/>
      <c r="L46" s="57"/>
      <c r="M46" s="57"/>
      <c r="N46" s="165"/>
      <c r="O46" s="147"/>
      <c r="P46" s="149"/>
    </row>
    <row r="47" spans="2:17" s="91" customFormat="1" ht="25.5" customHeight="1" thickTop="1" thickBot="1" x14ac:dyDescent="0.3">
      <c r="B47" s="109" t="s">
        <v>61</v>
      </c>
      <c r="C47" s="348" t="s">
        <v>8</v>
      </c>
      <c r="D47" s="349"/>
      <c r="E47" s="264">
        <f>'Mitt ekonomiska underlag'!G58</f>
        <v>2.3449999999999998</v>
      </c>
      <c r="F47" s="291">
        <f>'Mitt ekonomiska underlag'!G53</f>
        <v>300</v>
      </c>
      <c r="G47" s="278">
        <f>E47*F47</f>
        <v>703.49999999999989</v>
      </c>
      <c r="H47" s="292">
        <f t="shared" si="6"/>
        <v>25.581818181818178</v>
      </c>
      <c r="I47" s="292">
        <f t="shared" si="7"/>
        <v>281399.99999999994</v>
      </c>
      <c r="J47" s="259"/>
      <c r="K47" s="57"/>
      <c r="L47" s="57"/>
      <c r="M47" s="57"/>
      <c r="N47" s="165"/>
      <c r="O47" s="147"/>
      <c r="P47" s="149"/>
    </row>
    <row r="48" spans="2:17" s="91" customFormat="1" ht="25.5" customHeight="1" thickTop="1" thickBot="1" x14ac:dyDescent="0.3">
      <c r="B48" s="178" t="s">
        <v>9</v>
      </c>
      <c r="C48" s="179"/>
      <c r="D48" s="179"/>
      <c r="E48" s="180"/>
      <c r="F48" s="180"/>
      <c r="G48" s="293">
        <f>SUM(G43:G47)</f>
        <v>3164.75</v>
      </c>
      <c r="H48" s="294">
        <f>SUM(H43:H47)</f>
        <v>115.08181818181818</v>
      </c>
      <c r="I48" s="293">
        <f>SUM(I43:I47)</f>
        <v>1265900</v>
      </c>
      <c r="J48" s="256"/>
      <c r="K48" s="57"/>
      <c r="L48" s="57"/>
      <c r="M48" s="57"/>
      <c r="N48" s="147"/>
      <c r="O48" s="147"/>
      <c r="P48" s="149"/>
    </row>
    <row r="49" spans="2:17" s="91" customFormat="1" ht="25.5" customHeight="1" thickTop="1" x14ac:dyDescent="0.25">
      <c r="B49" s="271"/>
      <c r="C49" s="259"/>
      <c r="D49" s="259"/>
      <c r="E49" s="272"/>
      <c r="F49" s="272"/>
      <c r="G49" s="273"/>
      <c r="H49" s="273"/>
      <c r="I49" s="273"/>
      <c r="J49" s="256"/>
      <c r="K49" s="266"/>
      <c r="L49" s="266"/>
      <c r="M49" s="266"/>
      <c r="N49" s="147"/>
      <c r="O49" s="147"/>
      <c r="P49" s="149"/>
    </row>
    <row r="50" spans="2:17" s="91" customFormat="1" ht="30" customHeight="1" thickBot="1" x14ac:dyDescent="0.25">
      <c r="B50" s="140" t="s">
        <v>237</v>
      </c>
      <c r="C50" s="344" t="s">
        <v>11</v>
      </c>
      <c r="D50" s="344"/>
      <c r="E50" s="119" t="s">
        <v>17</v>
      </c>
      <c r="F50" s="119" t="s">
        <v>18</v>
      </c>
      <c r="G50" s="119" t="s">
        <v>194</v>
      </c>
      <c r="H50" s="50" t="s">
        <v>195</v>
      </c>
      <c r="I50" s="267" t="s">
        <v>196</v>
      </c>
      <c r="J50" s="255"/>
      <c r="K50" s="57"/>
      <c r="L50" s="57"/>
      <c r="M50" s="57"/>
      <c r="N50" s="163"/>
      <c r="O50" s="147"/>
      <c r="P50" s="149"/>
    </row>
    <row r="51" spans="2:17" s="91" customFormat="1" ht="25.5" customHeight="1" thickTop="1" thickBot="1" x14ac:dyDescent="0.3">
      <c r="B51" s="109" t="s">
        <v>103</v>
      </c>
      <c r="C51" s="135" t="s">
        <v>146</v>
      </c>
      <c r="D51" s="136"/>
      <c r="E51" s="200">
        <v>0.05</v>
      </c>
      <c r="F51" s="291">
        <f>G48+G40+G34</f>
        <v>10906.236898644082</v>
      </c>
      <c r="G51" s="278">
        <f>E51*F51</f>
        <v>545.31184493220405</v>
      </c>
      <c r="H51" s="295">
        <f t="shared" ref="H51" si="8">G51/$E$9</f>
        <v>19.829521633898331</v>
      </c>
      <c r="I51" s="295">
        <f t="shared" ref="I51" si="9">G51*$C$6</f>
        <v>218124.73797288162</v>
      </c>
      <c r="J51" s="256"/>
      <c r="K51" s="57"/>
      <c r="L51" s="57"/>
      <c r="M51" s="57"/>
      <c r="N51" s="147"/>
      <c r="O51" s="147"/>
      <c r="P51" s="149"/>
    </row>
    <row r="52" spans="2:17" s="91" customFormat="1" ht="25.5" customHeight="1" thickTop="1" thickBot="1" x14ac:dyDescent="0.3">
      <c r="B52" s="178" t="s">
        <v>104</v>
      </c>
      <c r="C52" s="179"/>
      <c r="D52" s="179"/>
      <c r="E52" s="180"/>
      <c r="F52" s="180"/>
      <c r="G52" s="293">
        <f>SUM(G51)</f>
        <v>545.31184493220405</v>
      </c>
      <c r="H52" s="293">
        <f t="shared" ref="H52:I52" si="10">SUM(H51)</f>
        <v>19.829521633898331</v>
      </c>
      <c r="I52" s="293">
        <f t="shared" si="10"/>
        <v>218124.73797288162</v>
      </c>
      <c r="J52" s="256"/>
      <c r="K52" s="57"/>
      <c r="L52" s="57"/>
      <c r="M52" s="57"/>
      <c r="N52" s="147"/>
      <c r="O52" s="147"/>
      <c r="P52" s="149"/>
    </row>
    <row r="53" spans="2:17" s="91" customFormat="1" ht="25.5" customHeight="1" thickTop="1" thickBot="1" x14ac:dyDescent="0.3">
      <c r="B53" s="297"/>
      <c r="C53" s="297"/>
      <c r="D53" s="297"/>
      <c r="E53" s="297"/>
      <c r="F53" s="297"/>
      <c r="G53" s="297"/>
      <c r="H53" s="297"/>
      <c r="I53" s="297"/>
      <c r="J53" s="134"/>
      <c r="K53" s="57"/>
      <c r="L53" s="57"/>
      <c r="M53" s="147"/>
      <c r="N53" s="148"/>
      <c r="O53" s="148"/>
      <c r="P53" s="149"/>
    </row>
    <row r="54" spans="2:17" s="91" customFormat="1" ht="30" customHeight="1" thickTop="1" thickBot="1" x14ac:dyDescent="0.25">
      <c r="B54" s="296"/>
      <c r="C54" s="296"/>
      <c r="D54" s="296"/>
      <c r="E54" s="296"/>
      <c r="F54" s="296"/>
      <c r="G54" s="281" t="s">
        <v>194</v>
      </c>
      <c r="H54" s="282" t="s">
        <v>195</v>
      </c>
      <c r="I54" s="245" t="s">
        <v>196</v>
      </c>
      <c r="J54" s="256"/>
      <c r="K54" s="168"/>
      <c r="L54" s="168"/>
      <c r="M54" s="64"/>
      <c r="N54" s="169"/>
      <c r="O54" s="169"/>
      <c r="P54" s="170"/>
    </row>
    <row r="55" spans="2:17" s="91" customFormat="1" ht="30" customHeight="1" thickTop="1" thickBot="1" x14ac:dyDescent="0.3">
      <c r="B55" s="184" t="s">
        <v>239</v>
      </c>
      <c r="C55" s="185"/>
      <c r="D55" s="143"/>
      <c r="E55" s="185"/>
      <c r="F55" s="185"/>
      <c r="G55" s="116">
        <f>G14-G34</f>
        <v>16738.423483936236</v>
      </c>
      <c r="H55" s="189">
        <f>IFERROR(G55/'Mina Produktionsnyckeltal'!$D$25,0)</f>
        <v>608.66994487040859</v>
      </c>
      <c r="I55" s="286">
        <f>G55*$C$6</f>
        <v>6695369.3935744949</v>
      </c>
      <c r="J55" s="256"/>
      <c r="K55" s="171"/>
      <c r="L55" s="171"/>
      <c r="M55" s="173"/>
      <c r="N55" s="341"/>
      <c r="O55" s="341"/>
      <c r="P55" s="172"/>
    </row>
    <row r="56" spans="2:17" s="91" customFormat="1" ht="30" customHeight="1" thickTop="1" thickBot="1" x14ac:dyDescent="0.3">
      <c r="B56" s="144" t="s">
        <v>240</v>
      </c>
      <c r="C56" s="145"/>
      <c r="D56" s="139"/>
      <c r="E56" s="145"/>
      <c r="F56" s="145"/>
      <c r="G56" s="116">
        <f>G55-G40</f>
        <v>16355.513101355917</v>
      </c>
      <c r="H56" s="189">
        <f>IFERROR(G56/'Mina Produktionsnyckeltal'!$D$25,0)</f>
        <v>594.74593095839703</v>
      </c>
      <c r="I56" s="286">
        <f t="shared" ref="I56:I58" si="11">G56*$C$6</f>
        <v>6542205.2405423671</v>
      </c>
      <c r="J56" s="274"/>
      <c r="K56" s="57"/>
      <c r="L56" s="147"/>
      <c r="M56" s="148"/>
      <c r="N56" s="148"/>
      <c r="O56" s="149"/>
    </row>
    <row r="57" spans="2:17" s="54" customFormat="1" ht="30" customHeight="1" thickTop="1" thickBot="1" x14ac:dyDescent="0.3">
      <c r="B57" s="144" t="s">
        <v>241</v>
      </c>
      <c r="C57" s="145"/>
      <c r="D57" s="139"/>
      <c r="E57" s="145"/>
      <c r="F57" s="145"/>
      <c r="G57" s="116">
        <f>G56-G48</f>
        <v>13190.763101355917</v>
      </c>
      <c r="H57" s="189">
        <f>IFERROR(G57/'Mina Produktionsnyckeltal'!$D$25,0)</f>
        <v>479.6641127765788</v>
      </c>
      <c r="I57" s="286">
        <f t="shared" si="11"/>
        <v>5276305.2405423671</v>
      </c>
      <c r="J57" s="274"/>
      <c r="K57" s="57"/>
      <c r="L57" s="147"/>
      <c r="M57" s="148"/>
      <c r="N57" s="148"/>
      <c r="O57" s="149"/>
    </row>
    <row r="58" spans="2:17" s="91" customFormat="1" ht="30" customHeight="1" thickTop="1" thickBot="1" x14ac:dyDescent="0.3">
      <c r="B58" s="144" t="s">
        <v>242</v>
      </c>
      <c r="C58" s="145"/>
      <c r="D58" s="139"/>
      <c r="E58" s="145"/>
      <c r="F58" s="145"/>
      <c r="G58" s="116">
        <f>G57-G52</f>
        <v>12645.451256423712</v>
      </c>
      <c r="H58" s="189">
        <f>IFERROR(G58/'Mina Produktionsnyckeltal'!$D$25,0)</f>
        <v>459.83459114268044</v>
      </c>
      <c r="I58" s="286">
        <f t="shared" si="11"/>
        <v>5058180.5025694845</v>
      </c>
      <c r="J58" s="259"/>
      <c r="L58" s="156"/>
      <c r="M58" s="174"/>
      <c r="N58" s="174"/>
      <c r="O58" s="175"/>
    </row>
    <row r="59" spans="2:17" s="91" customFormat="1" ht="25.5" customHeight="1" thickTop="1" x14ac:dyDescent="0.25">
      <c r="B59" s="57"/>
      <c r="C59" s="57"/>
      <c r="D59" s="57"/>
      <c r="E59" s="147"/>
      <c r="F59" s="156"/>
      <c r="G59" s="146"/>
      <c r="H59" s="146"/>
      <c r="I59" s="146"/>
      <c r="J59" s="259"/>
      <c r="L59" s="156"/>
      <c r="M59" s="174"/>
      <c r="N59" s="174"/>
      <c r="O59" s="175"/>
    </row>
    <row r="60" spans="2:17" s="91" customFormat="1" ht="25.5" customHeight="1" x14ac:dyDescent="0.25">
      <c r="B60" s="176"/>
      <c r="C60" s="339"/>
      <c r="D60" s="339"/>
      <c r="E60" s="339"/>
      <c r="F60" s="339"/>
      <c r="G60" s="339"/>
      <c r="H60" s="146"/>
      <c r="I60" s="146"/>
      <c r="J60" s="256"/>
      <c r="M60" s="156"/>
      <c r="N60" s="174"/>
      <c r="O60" s="174"/>
      <c r="P60" s="175"/>
    </row>
    <row r="61" spans="2:17" s="91" customFormat="1" ht="25.5" customHeight="1" x14ac:dyDescent="0.25">
      <c r="B61" s="176"/>
      <c r="C61" s="339"/>
      <c r="D61" s="339"/>
      <c r="E61" s="339"/>
      <c r="F61" s="339"/>
      <c r="G61" s="339"/>
      <c r="H61" s="146"/>
      <c r="I61" s="146"/>
      <c r="J61" s="260"/>
      <c r="L61" s="57"/>
      <c r="M61" s="147"/>
      <c r="N61" s="148"/>
      <c r="O61" s="148"/>
      <c r="P61" s="149"/>
      <c r="Q61" s="57"/>
    </row>
    <row r="62" spans="2:17" s="91" customFormat="1" ht="25.5" customHeight="1" x14ac:dyDescent="0.25">
      <c r="B62" s="176"/>
      <c r="C62" s="339"/>
      <c r="D62" s="339"/>
      <c r="E62" s="339"/>
      <c r="F62" s="339"/>
      <c r="G62" s="339"/>
      <c r="H62" s="54"/>
      <c r="I62" s="54"/>
      <c r="J62" s="256"/>
      <c r="M62" s="156"/>
      <c r="N62" s="174"/>
      <c r="O62" s="174"/>
      <c r="P62" s="175"/>
    </row>
    <row r="63" spans="2:17" s="91" customFormat="1" ht="25.5" customHeight="1" x14ac:dyDescent="0.25">
      <c r="C63" s="186"/>
      <c r="D63" s="186"/>
      <c r="E63" s="187"/>
      <c r="F63" s="187"/>
      <c r="G63" s="186"/>
      <c r="H63" s="54"/>
      <c r="I63" s="54"/>
      <c r="J63" s="256"/>
      <c r="M63" s="156"/>
      <c r="N63" s="174"/>
      <c r="O63" s="174"/>
      <c r="P63" s="175"/>
    </row>
    <row r="64" spans="2:17" s="91" customFormat="1" ht="25.5" customHeight="1" x14ac:dyDescent="0.25">
      <c r="C64" s="340"/>
      <c r="D64" s="340"/>
      <c r="E64" s="340"/>
      <c r="F64" s="340"/>
      <c r="G64" s="340"/>
      <c r="H64" s="177"/>
      <c r="I64" s="177"/>
      <c r="J64" s="256"/>
      <c r="M64" s="156"/>
      <c r="N64" s="174"/>
      <c r="O64" s="174"/>
      <c r="P64" s="175"/>
    </row>
    <row r="65" spans="5:16" s="91" customFormat="1" ht="25.5" customHeight="1" x14ac:dyDescent="0.25">
      <c r="E65" s="156"/>
      <c r="F65" s="156"/>
      <c r="G65" s="146"/>
      <c r="H65" s="146"/>
      <c r="I65" s="146"/>
      <c r="J65" s="261"/>
      <c r="M65" s="156"/>
      <c r="N65" s="174"/>
      <c r="O65" s="174"/>
      <c r="P65" s="175"/>
    </row>
    <row r="66" spans="5:16" s="91" customFormat="1" ht="25.5" customHeight="1" x14ac:dyDescent="0.25">
      <c r="E66" s="156"/>
      <c r="F66" s="156"/>
      <c r="G66" s="146"/>
      <c r="H66" s="146"/>
      <c r="I66" s="146"/>
      <c r="J66" s="261"/>
      <c r="M66" s="156"/>
      <c r="N66" s="174"/>
      <c r="O66" s="174"/>
      <c r="P66" s="175"/>
    </row>
    <row r="67" spans="5:16" s="91" customFormat="1" ht="25.5" customHeight="1" x14ac:dyDescent="0.25">
      <c r="E67" s="156"/>
      <c r="F67" s="156"/>
      <c r="G67" s="146"/>
      <c r="H67" s="146"/>
      <c r="I67" s="146"/>
      <c r="J67" s="256"/>
      <c r="M67" s="156"/>
      <c r="N67" s="174"/>
      <c r="O67" s="174"/>
      <c r="P67" s="175"/>
    </row>
    <row r="68" spans="5:16" s="91" customFormat="1" ht="25.5" customHeight="1" x14ac:dyDescent="0.25">
      <c r="E68" s="156"/>
      <c r="F68" s="156"/>
      <c r="G68" s="146"/>
      <c r="H68" s="146"/>
      <c r="I68" s="146"/>
      <c r="J68" s="256"/>
      <c r="M68" s="156"/>
      <c r="N68" s="174"/>
      <c r="O68" s="174"/>
      <c r="P68" s="175"/>
    </row>
    <row r="69" spans="5:16" s="91" customFormat="1" ht="25.5" customHeight="1" x14ac:dyDescent="0.25">
      <c r="E69" s="156"/>
      <c r="F69" s="156"/>
      <c r="G69" s="146"/>
      <c r="H69" s="146"/>
      <c r="I69" s="146"/>
      <c r="J69" s="256"/>
      <c r="M69" s="156"/>
      <c r="N69" s="174"/>
      <c r="O69" s="174"/>
      <c r="P69" s="175"/>
    </row>
    <row r="70" spans="5:16" s="91" customFormat="1" ht="25.5" customHeight="1" x14ac:dyDescent="0.25">
      <c r="E70" s="156"/>
      <c r="F70" s="156"/>
      <c r="G70" s="146"/>
      <c r="H70" s="146"/>
      <c r="I70" s="146"/>
      <c r="J70" s="256"/>
      <c r="M70" s="156"/>
      <c r="N70" s="174"/>
      <c r="O70" s="174"/>
      <c r="P70" s="175"/>
    </row>
    <row r="71" spans="5:16" s="91" customFormat="1" ht="25.5" customHeight="1" x14ac:dyDescent="0.25">
      <c r="E71" s="156"/>
      <c r="F71" s="156"/>
      <c r="G71" s="146"/>
      <c r="H71" s="146"/>
      <c r="I71" s="146"/>
      <c r="J71" s="256"/>
      <c r="M71" s="156"/>
      <c r="N71" s="174"/>
      <c r="O71" s="174"/>
      <c r="P71" s="175"/>
    </row>
    <row r="72" spans="5:16" s="91" customFormat="1" ht="25.5" customHeight="1" x14ac:dyDescent="0.25">
      <c r="E72" s="156"/>
      <c r="F72" s="156"/>
      <c r="G72" s="146"/>
      <c r="H72" s="146"/>
      <c r="I72" s="146"/>
      <c r="J72" s="256"/>
      <c r="M72" s="156"/>
      <c r="N72" s="174"/>
      <c r="O72" s="174"/>
      <c r="P72" s="175"/>
    </row>
    <row r="73" spans="5:16" s="91" customFormat="1" ht="25.5" customHeight="1" x14ac:dyDescent="0.25">
      <c r="E73" s="156"/>
      <c r="F73" s="156"/>
      <c r="G73" s="146"/>
      <c r="H73" s="146"/>
      <c r="I73" s="146"/>
      <c r="J73" s="256"/>
      <c r="M73" s="156"/>
      <c r="N73" s="174"/>
      <c r="O73" s="174"/>
      <c r="P73" s="175"/>
    </row>
    <row r="74" spans="5:16" s="91" customFormat="1" ht="25.5" customHeight="1" x14ac:dyDescent="0.25">
      <c r="E74" s="156"/>
      <c r="F74" s="156"/>
      <c r="G74" s="146"/>
      <c r="H74" s="146"/>
      <c r="I74" s="146"/>
      <c r="J74" s="256"/>
      <c r="M74" s="156"/>
      <c r="N74" s="174"/>
      <c r="O74" s="174"/>
      <c r="P74" s="175"/>
    </row>
    <row r="75" spans="5:16" s="91" customFormat="1" ht="25.5" customHeight="1" x14ac:dyDescent="0.25">
      <c r="E75" s="156"/>
      <c r="F75" s="156"/>
      <c r="G75" s="146"/>
      <c r="H75" s="146"/>
      <c r="I75" s="146"/>
      <c r="J75" s="256"/>
      <c r="M75" s="156"/>
      <c r="N75" s="174"/>
      <c r="O75" s="174"/>
      <c r="P75" s="175"/>
    </row>
    <row r="76" spans="5:16" s="91" customFormat="1" ht="25.5" customHeight="1" x14ac:dyDescent="0.25">
      <c r="E76" s="156"/>
      <c r="F76" s="156"/>
      <c r="G76" s="146"/>
      <c r="H76" s="146"/>
      <c r="I76" s="146"/>
      <c r="J76" s="256"/>
      <c r="M76" s="156"/>
      <c r="N76" s="174"/>
      <c r="O76" s="174"/>
      <c r="P76" s="175"/>
    </row>
    <row r="77" spans="5:16" s="91" customFormat="1" ht="25.5" customHeight="1" x14ac:dyDescent="0.25">
      <c r="E77" s="156"/>
      <c r="F77" s="156"/>
      <c r="G77" s="146"/>
      <c r="H77" s="146"/>
      <c r="I77" s="146"/>
      <c r="J77" s="256"/>
      <c r="M77" s="156"/>
      <c r="N77" s="174"/>
      <c r="O77" s="174"/>
      <c r="P77" s="175"/>
    </row>
    <row r="78" spans="5:16" s="91" customFormat="1" ht="25.5" customHeight="1" x14ac:dyDescent="0.25">
      <c r="E78" s="156"/>
      <c r="F78" s="156"/>
      <c r="G78" s="146"/>
      <c r="H78" s="146"/>
      <c r="I78" s="146"/>
      <c r="J78" s="256"/>
      <c r="M78" s="156"/>
      <c r="N78" s="174"/>
      <c r="O78" s="174"/>
      <c r="P78" s="175"/>
    </row>
    <row r="79" spans="5:16" s="91" customFormat="1" ht="25.5" customHeight="1" x14ac:dyDescent="0.25">
      <c r="E79" s="156"/>
      <c r="F79" s="156"/>
      <c r="G79" s="146"/>
      <c r="H79" s="146"/>
      <c r="I79" s="146"/>
      <c r="J79" s="256"/>
      <c r="M79" s="156"/>
      <c r="N79" s="174"/>
      <c r="O79" s="174"/>
      <c r="P79" s="175"/>
    </row>
    <row r="80" spans="5:16" s="91" customFormat="1" ht="25.5" customHeight="1" x14ac:dyDescent="0.25">
      <c r="E80" s="156"/>
      <c r="F80" s="156"/>
      <c r="G80" s="146"/>
      <c r="H80" s="146"/>
      <c r="I80" s="146"/>
      <c r="J80" s="256"/>
      <c r="M80" s="156"/>
      <c r="N80" s="174"/>
      <c r="O80" s="174"/>
      <c r="P80" s="175"/>
    </row>
    <row r="81" spans="5:16" s="91" customFormat="1" ht="25.5" customHeight="1" x14ac:dyDescent="0.25">
      <c r="E81" s="156"/>
      <c r="F81" s="156"/>
      <c r="G81" s="146"/>
      <c r="H81" s="146"/>
      <c r="I81" s="146"/>
      <c r="J81" s="256"/>
      <c r="M81" s="156"/>
      <c r="N81" s="174"/>
      <c r="O81" s="174"/>
      <c r="P81" s="175"/>
    </row>
    <row r="82" spans="5:16" s="91" customFormat="1" ht="25.5" customHeight="1" x14ac:dyDescent="0.25">
      <c r="E82" s="156"/>
      <c r="F82" s="156"/>
      <c r="G82" s="146"/>
      <c r="H82" s="146"/>
      <c r="I82" s="146"/>
      <c r="J82" s="256"/>
      <c r="M82" s="156"/>
      <c r="N82" s="174"/>
      <c r="O82" s="174"/>
      <c r="P82" s="175"/>
    </row>
    <row r="83" spans="5:16" s="91" customFormat="1" ht="25.5" customHeight="1" x14ac:dyDescent="0.25">
      <c r="E83" s="156"/>
      <c r="F83" s="156"/>
      <c r="G83" s="146"/>
      <c r="H83" s="146"/>
      <c r="I83" s="146"/>
      <c r="J83" s="256"/>
      <c r="M83" s="156"/>
      <c r="N83" s="174"/>
      <c r="O83" s="174"/>
      <c r="P83" s="175"/>
    </row>
    <row r="84" spans="5:16" s="91" customFormat="1" ht="25.5" customHeight="1" x14ac:dyDescent="0.25">
      <c r="E84" s="156"/>
      <c r="F84" s="156"/>
      <c r="G84" s="146"/>
      <c r="H84" s="146"/>
      <c r="I84" s="146"/>
      <c r="J84" s="256"/>
      <c r="M84" s="156"/>
      <c r="N84" s="174"/>
      <c r="O84" s="174"/>
      <c r="P84" s="175"/>
    </row>
    <row r="85" spans="5:16" s="91" customFormat="1" ht="25.5" customHeight="1" x14ac:dyDescent="0.25">
      <c r="E85" s="156"/>
      <c r="F85" s="156"/>
      <c r="G85" s="146"/>
      <c r="H85" s="146"/>
      <c r="I85" s="146"/>
      <c r="J85" s="256"/>
      <c r="M85" s="156"/>
      <c r="N85" s="174"/>
      <c r="O85" s="174"/>
      <c r="P85" s="175"/>
    </row>
    <row r="86" spans="5:16" s="91" customFormat="1" ht="25.5" customHeight="1" x14ac:dyDescent="0.25">
      <c r="E86" s="156"/>
      <c r="F86" s="156"/>
      <c r="G86" s="146"/>
      <c r="H86" s="146"/>
      <c r="I86" s="146"/>
      <c r="J86" s="256"/>
      <c r="M86" s="156"/>
      <c r="N86" s="174"/>
      <c r="O86" s="174"/>
      <c r="P86" s="175"/>
    </row>
    <row r="87" spans="5:16" s="91" customFormat="1" ht="25.5" customHeight="1" x14ac:dyDescent="0.25">
      <c r="E87" s="156"/>
      <c r="F87" s="156"/>
      <c r="G87" s="146"/>
      <c r="H87" s="146"/>
      <c r="I87" s="146"/>
      <c r="J87" s="256"/>
      <c r="M87" s="156"/>
      <c r="N87" s="174"/>
      <c r="O87" s="174"/>
      <c r="P87" s="175"/>
    </row>
    <row r="88" spans="5:16" s="91" customFormat="1" ht="25.5" customHeight="1" x14ac:dyDescent="0.25">
      <c r="E88" s="156"/>
      <c r="F88" s="156"/>
      <c r="G88" s="146"/>
      <c r="H88" s="146"/>
      <c r="I88" s="146"/>
      <c r="J88" s="256"/>
      <c r="M88" s="156"/>
      <c r="N88" s="174"/>
      <c r="O88" s="174"/>
      <c r="P88" s="175"/>
    </row>
    <row r="89" spans="5:16" s="91" customFormat="1" ht="25.5" customHeight="1" x14ac:dyDescent="0.25">
      <c r="E89" s="156"/>
      <c r="F89" s="156"/>
      <c r="G89" s="146"/>
      <c r="H89" s="146"/>
      <c r="I89" s="146"/>
      <c r="J89" s="256"/>
      <c r="M89" s="156"/>
      <c r="N89" s="174"/>
      <c r="O89" s="174"/>
      <c r="P89" s="175"/>
    </row>
    <row r="90" spans="5:16" s="91" customFormat="1" ht="25.5" customHeight="1" x14ac:dyDescent="0.25">
      <c r="E90" s="156"/>
      <c r="F90" s="156"/>
      <c r="G90" s="146"/>
      <c r="H90" s="146"/>
      <c r="I90" s="146"/>
      <c r="J90" s="256"/>
      <c r="M90" s="156"/>
      <c r="N90" s="174"/>
      <c r="O90" s="174"/>
      <c r="P90" s="175"/>
    </row>
    <row r="91" spans="5:16" s="91" customFormat="1" ht="25.5" customHeight="1" x14ac:dyDescent="0.25">
      <c r="E91" s="156"/>
      <c r="F91" s="156"/>
      <c r="G91" s="146"/>
      <c r="H91" s="146"/>
      <c r="I91" s="146"/>
      <c r="J91" s="256"/>
      <c r="M91" s="156"/>
      <c r="N91" s="174"/>
      <c r="O91" s="174"/>
      <c r="P91" s="175"/>
    </row>
    <row r="92" spans="5:16" s="91" customFormat="1" ht="25.5" customHeight="1" x14ac:dyDescent="0.25">
      <c r="E92" s="156"/>
      <c r="F92" s="156"/>
      <c r="G92" s="146"/>
      <c r="H92" s="146"/>
      <c r="I92" s="146"/>
      <c r="J92" s="256"/>
      <c r="M92" s="156"/>
      <c r="N92" s="174"/>
      <c r="O92" s="174"/>
      <c r="P92" s="175"/>
    </row>
    <row r="93" spans="5:16" s="91" customFormat="1" ht="25.5" customHeight="1" x14ac:dyDescent="0.25">
      <c r="E93" s="156"/>
      <c r="F93" s="156"/>
      <c r="G93" s="146"/>
      <c r="H93" s="146"/>
      <c r="I93" s="146"/>
      <c r="J93" s="256"/>
      <c r="M93" s="156"/>
      <c r="N93" s="174"/>
      <c r="O93" s="174"/>
      <c r="P93" s="175"/>
    </row>
    <row r="94" spans="5:16" s="91" customFormat="1" ht="25.5" customHeight="1" x14ac:dyDescent="0.25">
      <c r="E94" s="156"/>
      <c r="F94" s="156"/>
      <c r="G94" s="146"/>
      <c r="H94" s="146"/>
      <c r="I94" s="146"/>
      <c r="J94" s="256"/>
      <c r="M94" s="156"/>
      <c r="N94" s="174"/>
      <c r="O94" s="174"/>
      <c r="P94" s="175"/>
    </row>
    <row r="95" spans="5:16" s="91" customFormat="1" ht="25.5" customHeight="1" x14ac:dyDescent="0.25">
      <c r="E95" s="156"/>
      <c r="F95" s="156"/>
      <c r="G95" s="146"/>
      <c r="H95" s="146"/>
      <c r="I95" s="146"/>
      <c r="J95" s="256"/>
      <c r="M95" s="156"/>
      <c r="N95" s="174"/>
      <c r="O95" s="174"/>
      <c r="P95" s="175"/>
    </row>
    <row r="96" spans="5:16" s="91" customFormat="1" ht="25.5" customHeight="1" x14ac:dyDescent="0.25">
      <c r="E96" s="156"/>
      <c r="F96" s="156"/>
      <c r="G96" s="146"/>
      <c r="H96" s="146"/>
      <c r="I96" s="146"/>
      <c r="J96" s="256"/>
      <c r="M96" s="156"/>
      <c r="N96" s="174"/>
      <c r="O96" s="174"/>
      <c r="P96" s="175"/>
    </row>
    <row r="97" spans="2:16" s="91" customFormat="1" ht="25.5" customHeight="1" x14ac:dyDescent="0.25">
      <c r="B97" s="2"/>
      <c r="C97" s="2"/>
      <c r="D97" s="2"/>
      <c r="E97" s="37"/>
      <c r="F97" s="37"/>
      <c r="G97" s="30"/>
      <c r="H97" s="30"/>
      <c r="I97" s="30"/>
      <c r="J97" s="256"/>
      <c r="M97" s="156"/>
      <c r="N97" s="174"/>
      <c r="O97" s="174"/>
      <c r="P97" s="175"/>
    </row>
    <row r="98" spans="2:16" s="91" customFormat="1" ht="25.5" customHeight="1" x14ac:dyDescent="0.25">
      <c r="B98" s="2"/>
      <c r="C98" s="2"/>
      <c r="D98" s="2"/>
      <c r="E98" s="37"/>
      <c r="F98" s="37"/>
      <c r="G98" s="30"/>
      <c r="H98" s="30"/>
      <c r="I98" s="30"/>
      <c r="J98" s="256"/>
      <c r="M98" s="156"/>
      <c r="N98" s="174"/>
      <c r="O98" s="174"/>
      <c r="P98" s="175"/>
    </row>
    <row r="211" spans="2:9" ht="21" x14ac:dyDescent="0.35">
      <c r="B211" s="39"/>
      <c r="C211" s="31"/>
      <c r="D211" s="31"/>
      <c r="E211" s="38"/>
      <c r="F211" s="38"/>
      <c r="G211" s="40"/>
      <c r="H211" s="40"/>
      <c r="I211" s="40"/>
    </row>
    <row r="212" spans="2:9" x14ac:dyDescent="0.25">
      <c r="B212" s="31"/>
      <c r="C212" s="31"/>
      <c r="D212" s="31"/>
      <c r="E212" s="38"/>
      <c r="F212" s="38"/>
      <c r="G212" s="40"/>
      <c r="H212" s="40"/>
      <c r="I212" s="40"/>
    </row>
    <row r="213" spans="2:9" ht="18.75" x14ac:dyDescent="0.3">
      <c r="B213" s="41"/>
      <c r="C213" s="41"/>
      <c r="D213" s="41"/>
      <c r="E213" s="41"/>
      <c r="F213" s="41"/>
      <c r="G213" s="41"/>
      <c r="H213" s="41"/>
      <c r="I213" s="41"/>
    </row>
    <row r="214" spans="2:9" x14ac:dyDescent="0.25">
      <c r="B214" s="31"/>
      <c r="C214" s="31"/>
      <c r="D214" s="31"/>
      <c r="E214" s="31"/>
      <c r="F214" s="31"/>
      <c r="G214" s="31"/>
      <c r="H214" s="31"/>
      <c r="I214" s="31"/>
    </row>
    <row r="215" spans="2:9" x14ac:dyDescent="0.25">
      <c r="B215" s="31"/>
      <c r="C215" s="31"/>
      <c r="D215" s="31"/>
      <c r="E215" s="31"/>
      <c r="F215" s="31"/>
      <c r="G215" s="31"/>
      <c r="H215" s="31"/>
      <c r="I215" s="31"/>
    </row>
    <row r="216" spans="2:9" x14ac:dyDescent="0.25">
      <c r="B216" s="31"/>
      <c r="C216" s="31"/>
      <c r="D216" s="31"/>
      <c r="E216" s="31"/>
      <c r="F216" s="31"/>
      <c r="G216" s="31"/>
      <c r="H216" s="31"/>
      <c r="I216" s="31"/>
    </row>
    <row r="217" spans="2:9" x14ac:dyDescent="0.25">
      <c r="B217" s="31"/>
      <c r="C217" s="31"/>
      <c r="D217" s="31"/>
      <c r="E217" s="31"/>
      <c r="F217" s="31"/>
      <c r="G217" s="31"/>
      <c r="H217" s="31"/>
      <c r="I217" s="31"/>
    </row>
    <row r="218" spans="2:9" x14ac:dyDescent="0.25">
      <c r="B218" s="31"/>
      <c r="C218" s="31"/>
      <c r="D218" s="31"/>
      <c r="E218" s="31"/>
      <c r="F218" s="31"/>
      <c r="G218" s="31"/>
      <c r="H218" s="31"/>
      <c r="I218" s="31"/>
    </row>
    <row r="219" spans="2:9" x14ac:dyDescent="0.25">
      <c r="B219" s="31"/>
      <c r="C219" s="31"/>
      <c r="D219" s="31"/>
      <c r="E219" s="31"/>
      <c r="F219" s="31"/>
      <c r="G219" s="31"/>
      <c r="H219" s="31"/>
      <c r="I219" s="31"/>
    </row>
    <row r="220" spans="2:9" x14ac:dyDescent="0.25">
      <c r="B220" s="31"/>
      <c r="C220" s="31"/>
      <c r="D220" s="31"/>
      <c r="E220" s="31"/>
      <c r="F220" s="31"/>
      <c r="G220" s="31"/>
      <c r="H220" s="31"/>
      <c r="I220" s="31"/>
    </row>
    <row r="221" spans="2:9" x14ac:dyDescent="0.25">
      <c r="B221" s="31"/>
      <c r="C221" s="31"/>
      <c r="D221" s="31"/>
      <c r="E221" s="31"/>
      <c r="F221" s="31"/>
      <c r="G221" s="31"/>
      <c r="H221" s="31"/>
      <c r="I221" s="31"/>
    </row>
    <row r="222" spans="2:9" x14ac:dyDescent="0.25">
      <c r="B222" s="31"/>
      <c r="C222" s="31"/>
      <c r="D222" s="31"/>
      <c r="E222" s="31"/>
      <c r="F222" s="31"/>
      <c r="G222" s="31"/>
      <c r="H222" s="31"/>
      <c r="I222" s="31"/>
    </row>
    <row r="223" spans="2:9" x14ac:dyDescent="0.25">
      <c r="B223" s="31"/>
      <c r="C223" s="31"/>
      <c r="D223" s="31"/>
      <c r="E223" s="31"/>
      <c r="F223" s="31"/>
      <c r="G223" s="31"/>
      <c r="H223" s="31"/>
      <c r="I223" s="31"/>
    </row>
    <row r="224" spans="2:9" x14ac:dyDescent="0.25">
      <c r="B224" s="31"/>
      <c r="C224" s="31"/>
      <c r="D224" s="31"/>
      <c r="E224" s="31"/>
      <c r="F224" s="31"/>
      <c r="G224" s="31"/>
      <c r="H224" s="31"/>
      <c r="I224" s="31"/>
    </row>
    <row r="225" spans="2:9" x14ac:dyDescent="0.25">
      <c r="B225" s="31"/>
      <c r="C225" s="31"/>
      <c r="D225" s="31"/>
      <c r="E225" s="31"/>
      <c r="F225" s="31"/>
      <c r="G225" s="31"/>
      <c r="H225" s="31"/>
      <c r="I225" s="31"/>
    </row>
    <row r="226" spans="2:9" x14ac:dyDescent="0.25">
      <c r="B226" s="31"/>
      <c r="C226" s="31"/>
      <c r="D226" s="31"/>
      <c r="E226" s="31"/>
      <c r="F226" s="31"/>
      <c r="G226" s="31"/>
      <c r="H226" s="31"/>
      <c r="I226" s="31"/>
    </row>
    <row r="227" spans="2:9" x14ac:dyDescent="0.25">
      <c r="B227" s="31"/>
      <c r="C227" s="31"/>
      <c r="D227" s="31"/>
      <c r="E227" s="31"/>
      <c r="F227" s="31"/>
      <c r="G227" s="31"/>
      <c r="H227" s="31"/>
      <c r="I227" s="31"/>
    </row>
    <row r="228" spans="2:9" x14ac:dyDescent="0.25">
      <c r="B228" s="31"/>
      <c r="C228" s="31"/>
      <c r="D228" s="31"/>
      <c r="E228" s="31"/>
      <c r="F228" s="31"/>
      <c r="G228" s="31"/>
      <c r="H228" s="31"/>
      <c r="I228" s="31"/>
    </row>
    <row r="229" spans="2:9" x14ac:dyDescent="0.25">
      <c r="B229" s="31"/>
      <c r="C229" s="31"/>
      <c r="D229" s="31"/>
      <c r="E229" s="31"/>
      <c r="F229" s="31"/>
      <c r="G229" s="31"/>
      <c r="H229" s="31"/>
      <c r="I229" s="31"/>
    </row>
    <row r="230" spans="2:9" x14ac:dyDescent="0.25">
      <c r="B230" s="31"/>
      <c r="C230" s="31"/>
      <c r="D230" s="31"/>
      <c r="E230" s="31"/>
      <c r="F230" s="31"/>
      <c r="G230" s="31"/>
      <c r="H230" s="31"/>
      <c r="I230" s="31"/>
    </row>
    <row r="231" spans="2:9" x14ac:dyDescent="0.25">
      <c r="B231" s="31"/>
      <c r="C231" s="31"/>
      <c r="D231" s="31"/>
      <c r="E231" s="31"/>
      <c r="F231" s="31"/>
      <c r="G231" s="31"/>
      <c r="H231" s="31"/>
      <c r="I231" s="31"/>
    </row>
    <row r="232" spans="2:9" x14ac:dyDescent="0.25">
      <c r="B232" s="31"/>
      <c r="C232" s="31"/>
      <c r="D232" s="31"/>
      <c r="E232" s="31"/>
      <c r="F232" s="31"/>
      <c r="G232" s="31"/>
      <c r="H232" s="31"/>
      <c r="I232" s="31"/>
    </row>
    <row r="233" spans="2:9" x14ac:dyDescent="0.25">
      <c r="B233" s="31"/>
      <c r="C233" s="31"/>
      <c r="D233" s="31"/>
      <c r="E233" s="31"/>
      <c r="F233" s="31"/>
      <c r="G233" s="31"/>
      <c r="H233" s="31"/>
      <c r="I233" s="31"/>
    </row>
    <row r="234" spans="2:9" x14ac:dyDescent="0.25">
      <c r="B234" s="31"/>
      <c r="C234" s="31"/>
      <c r="D234" s="31"/>
      <c r="E234" s="31"/>
      <c r="F234" s="31"/>
      <c r="G234" s="31"/>
      <c r="H234" s="31"/>
      <c r="I234" s="31"/>
    </row>
    <row r="235" spans="2:9" x14ac:dyDescent="0.25">
      <c r="B235" s="31"/>
      <c r="C235" s="31"/>
      <c r="D235" s="31"/>
      <c r="E235" s="31"/>
      <c r="F235" s="31"/>
      <c r="G235" s="31"/>
      <c r="H235" s="31"/>
      <c r="I235" s="31"/>
    </row>
    <row r="236" spans="2:9" x14ac:dyDescent="0.25">
      <c r="B236" s="31"/>
      <c r="C236" s="31"/>
      <c r="D236" s="31"/>
      <c r="E236" s="31"/>
      <c r="F236" s="31"/>
      <c r="G236" s="31"/>
      <c r="H236" s="31"/>
      <c r="I236" s="31"/>
    </row>
    <row r="237" spans="2:9" x14ac:dyDescent="0.25">
      <c r="B237" s="31"/>
      <c r="C237" s="31"/>
      <c r="D237" s="31"/>
      <c r="E237" s="31"/>
      <c r="F237" s="31"/>
      <c r="G237" s="31"/>
      <c r="H237" s="31"/>
      <c r="I237" s="31"/>
    </row>
    <row r="238" spans="2:9" x14ac:dyDescent="0.25">
      <c r="B238" s="31"/>
      <c r="C238" s="31"/>
      <c r="D238" s="31"/>
      <c r="E238" s="31"/>
      <c r="F238" s="31"/>
      <c r="G238" s="31"/>
      <c r="H238" s="31"/>
      <c r="I238" s="31"/>
    </row>
    <row r="239" spans="2:9" x14ac:dyDescent="0.25">
      <c r="B239" s="31"/>
      <c r="C239" s="31"/>
      <c r="D239" s="31"/>
      <c r="E239" s="31"/>
      <c r="F239" s="31"/>
      <c r="G239" s="31"/>
      <c r="H239" s="31"/>
      <c r="I239" s="31"/>
    </row>
    <row r="240" spans="2:9" x14ac:dyDescent="0.25">
      <c r="B240" s="31"/>
      <c r="C240" s="31"/>
      <c r="D240" s="31"/>
      <c r="E240" s="31"/>
      <c r="F240" s="31"/>
      <c r="G240" s="31"/>
      <c r="H240" s="31"/>
      <c r="I240" s="31"/>
    </row>
    <row r="241" spans="2:9" x14ac:dyDescent="0.25">
      <c r="B241" s="31"/>
      <c r="C241" s="31"/>
      <c r="D241" s="31"/>
      <c r="E241" s="31"/>
      <c r="F241" s="31"/>
      <c r="G241" s="31"/>
      <c r="H241" s="31"/>
      <c r="I241" s="31"/>
    </row>
    <row r="242" spans="2:9" x14ac:dyDescent="0.25">
      <c r="B242" s="31"/>
      <c r="C242" s="31"/>
      <c r="D242" s="31"/>
      <c r="E242" s="31"/>
      <c r="F242" s="31"/>
      <c r="G242" s="31"/>
      <c r="H242" s="31"/>
      <c r="I242" s="31"/>
    </row>
    <row r="243" spans="2:9" x14ac:dyDescent="0.25">
      <c r="B243" s="31"/>
      <c r="C243" s="31"/>
      <c r="D243" s="31"/>
      <c r="E243" s="31"/>
      <c r="F243" s="31"/>
      <c r="G243" s="31"/>
      <c r="H243" s="31"/>
      <c r="I243" s="31"/>
    </row>
    <row r="244" spans="2:9" x14ac:dyDescent="0.25">
      <c r="B244" s="31"/>
      <c r="C244" s="31"/>
      <c r="D244" s="31"/>
      <c r="E244" s="31"/>
      <c r="F244" s="31"/>
      <c r="G244" s="31"/>
      <c r="H244" s="31"/>
      <c r="I244" s="31"/>
    </row>
    <row r="245" spans="2:9" x14ac:dyDescent="0.25">
      <c r="B245" s="31"/>
      <c r="C245" s="31"/>
      <c r="D245" s="31"/>
      <c r="E245" s="31"/>
      <c r="F245" s="31"/>
      <c r="G245" s="31"/>
      <c r="H245" s="31"/>
      <c r="I245" s="31"/>
    </row>
    <row r="246" spans="2:9" x14ac:dyDescent="0.25">
      <c r="B246" s="31"/>
      <c r="C246" s="31"/>
      <c r="D246" s="31"/>
      <c r="E246" s="31"/>
      <c r="F246" s="31"/>
      <c r="G246" s="31"/>
      <c r="H246" s="31"/>
      <c r="I246" s="31"/>
    </row>
    <row r="247" spans="2:9" x14ac:dyDescent="0.25">
      <c r="B247" s="31"/>
      <c r="C247" s="31"/>
      <c r="D247" s="31"/>
      <c r="E247" s="31"/>
      <c r="F247" s="31"/>
      <c r="G247" s="31"/>
      <c r="H247" s="31"/>
      <c r="I247" s="31"/>
    </row>
    <row r="248" spans="2:9" x14ac:dyDescent="0.25">
      <c r="B248" s="31"/>
      <c r="C248" s="31"/>
      <c r="D248" s="31"/>
      <c r="E248" s="31"/>
      <c r="F248" s="31"/>
      <c r="G248" s="31"/>
      <c r="H248" s="31"/>
      <c r="I248" s="31"/>
    </row>
    <row r="249" spans="2:9" x14ac:dyDescent="0.25">
      <c r="B249" s="31"/>
      <c r="C249" s="31"/>
      <c r="D249" s="31"/>
      <c r="E249" s="31"/>
      <c r="F249" s="31"/>
      <c r="G249" s="31"/>
      <c r="H249" s="31"/>
      <c r="I249" s="31"/>
    </row>
    <row r="250" spans="2:9" x14ac:dyDescent="0.25">
      <c r="B250" s="31"/>
      <c r="C250" s="31"/>
      <c r="D250" s="31"/>
      <c r="E250" s="31"/>
      <c r="F250" s="31"/>
      <c r="G250" s="31"/>
      <c r="H250" s="31"/>
      <c r="I250" s="31"/>
    </row>
    <row r="251" spans="2:9" x14ac:dyDescent="0.25">
      <c r="B251" s="31"/>
      <c r="C251" s="31"/>
      <c r="D251" s="31"/>
      <c r="E251" s="31"/>
      <c r="F251" s="31"/>
      <c r="G251" s="31"/>
      <c r="H251" s="31"/>
      <c r="I251" s="31"/>
    </row>
    <row r="252" spans="2:9" x14ac:dyDescent="0.25">
      <c r="B252" s="31"/>
      <c r="C252" s="31"/>
      <c r="D252" s="31"/>
      <c r="E252" s="31"/>
      <c r="F252" s="31"/>
      <c r="G252" s="31"/>
      <c r="H252" s="31"/>
      <c r="I252" s="31"/>
    </row>
    <row r="253" spans="2:9" x14ac:dyDescent="0.25">
      <c r="B253" s="31"/>
      <c r="C253" s="31"/>
      <c r="D253" s="31"/>
      <c r="E253" s="31"/>
      <c r="F253" s="31"/>
      <c r="G253" s="31"/>
      <c r="H253" s="31"/>
      <c r="I253" s="31"/>
    </row>
    <row r="254" spans="2:9" x14ac:dyDescent="0.25">
      <c r="B254" s="31"/>
      <c r="C254" s="31"/>
      <c r="D254" s="31"/>
      <c r="E254" s="31"/>
      <c r="F254" s="31"/>
      <c r="G254" s="31"/>
      <c r="H254" s="31"/>
      <c r="I254" s="31"/>
    </row>
    <row r="255" spans="2:9" x14ac:dyDescent="0.25">
      <c r="B255" s="31"/>
      <c r="C255" s="31"/>
      <c r="D255" s="31"/>
      <c r="E255" s="31"/>
      <c r="F255" s="31"/>
      <c r="G255" s="31"/>
      <c r="H255" s="31"/>
      <c r="I255" s="31"/>
    </row>
    <row r="256" spans="2:9" x14ac:dyDescent="0.25">
      <c r="B256" s="31"/>
      <c r="C256" s="31"/>
      <c r="D256" s="31"/>
      <c r="E256" s="31"/>
      <c r="F256" s="31"/>
      <c r="G256" s="31"/>
      <c r="H256" s="31"/>
      <c r="I256" s="31"/>
    </row>
    <row r="257" spans="2:9" x14ac:dyDescent="0.25">
      <c r="B257" s="31"/>
      <c r="C257" s="31"/>
      <c r="D257" s="31"/>
      <c r="E257" s="31"/>
      <c r="F257" s="31"/>
      <c r="G257" s="31"/>
      <c r="H257" s="31"/>
      <c r="I257" s="31"/>
    </row>
    <row r="258" spans="2:9" x14ac:dyDescent="0.25">
      <c r="B258" s="31"/>
      <c r="C258" s="31"/>
      <c r="D258" s="31"/>
      <c r="E258" s="31"/>
      <c r="F258" s="31"/>
      <c r="G258" s="31"/>
      <c r="H258" s="31"/>
      <c r="I258" s="31"/>
    </row>
    <row r="259" spans="2:9" x14ac:dyDescent="0.25">
      <c r="B259" s="31"/>
      <c r="C259" s="31"/>
      <c r="D259" s="31"/>
      <c r="E259" s="31"/>
      <c r="F259" s="31"/>
      <c r="G259" s="31"/>
      <c r="H259" s="31"/>
      <c r="I259" s="31"/>
    </row>
    <row r="260" spans="2:9" x14ac:dyDescent="0.25">
      <c r="B260" s="31"/>
      <c r="C260" s="31"/>
      <c r="D260" s="31"/>
      <c r="E260" s="31"/>
      <c r="F260" s="31"/>
      <c r="G260" s="31"/>
      <c r="H260" s="31"/>
      <c r="I260" s="31"/>
    </row>
    <row r="261" spans="2:9" x14ac:dyDescent="0.25">
      <c r="B261" s="31"/>
      <c r="C261" s="31"/>
      <c r="D261" s="31"/>
      <c r="E261" s="31"/>
      <c r="F261" s="31"/>
      <c r="G261" s="31"/>
      <c r="H261" s="31"/>
      <c r="I261" s="31"/>
    </row>
    <row r="262" spans="2:9" x14ac:dyDescent="0.25">
      <c r="B262" s="31"/>
      <c r="C262" s="31"/>
      <c r="D262" s="31"/>
      <c r="E262" s="31"/>
      <c r="F262" s="31"/>
      <c r="G262" s="31"/>
      <c r="H262" s="31"/>
      <c r="I262" s="31"/>
    </row>
    <row r="263" spans="2:9" x14ac:dyDescent="0.25">
      <c r="B263" s="31"/>
      <c r="C263" s="31"/>
      <c r="D263" s="31"/>
      <c r="E263" s="31"/>
      <c r="F263" s="31"/>
      <c r="G263" s="31"/>
      <c r="H263" s="31"/>
      <c r="I263" s="31"/>
    </row>
    <row r="264" spans="2:9" x14ac:dyDescent="0.25">
      <c r="B264" s="31"/>
      <c r="C264" s="31"/>
      <c r="D264" s="31"/>
      <c r="E264" s="31"/>
      <c r="F264" s="31"/>
      <c r="G264" s="31"/>
      <c r="H264" s="31"/>
      <c r="I264" s="31"/>
    </row>
  </sheetData>
  <sheetProtection algorithmName="SHA-512" hashValue="glE/wxau7HzVSTnZ804n23xafX7W/UU56qYZmetUSyCNb2E8N3O6+G9Yjrep73914uyQUwGDu+9FyrkXWjua0A==" saltValue="MMr3BpYq2mM++aAOSIxT8A==" spinCount="100000" sheet="1" selectLockedCells="1"/>
  <mergeCells count="16">
    <mergeCell ref="C62:G62"/>
    <mergeCell ref="C64:G64"/>
    <mergeCell ref="N55:O55"/>
    <mergeCell ref="C1:D1"/>
    <mergeCell ref="C32:D32"/>
    <mergeCell ref="C33:D33"/>
    <mergeCell ref="C60:G60"/>
    <mergeCell ref="C61:G61"/>
    <mergeCell ref="B3:I3"/>
    <mergeCell ref="C16:D16"/>
    <mergeCell ref="C36:D36"/>
    <mergeCell ref="C50:D50"/>
    <mergeCell ref="C6:D6"/>
    <mergeCell ref="C8:D8"/>
    <mergeCell ref="C46:D46"/>
    <mergeCell ref="C47:D47"/>
  </mergeCells>
  <phoneticPr fontId="0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9" fitToHeight="3" orientation="portrait" r:id="rId1"/>
  <rowBreaks count="1" manualBreakCount="1">
    <brk id="35" min="1" max="8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BEDED63186754FBBC61ED0D8286DB3" ma:contentTypeVersion="10" ma:contentTypeDescription="Skapa ett nytt dokument." ma:contentTypeScope="" ma:versionID="50880da68ba9ce941892c82081406f6b">
  <xsd:schema xmlns:xsd="http://www.w3.org/2001/XMLSchema" xmlns:xs="http://www.w3.org/2001/XMLSchema" xmlns:p="http://schemas.microsoft.com/office/2006/metadata/properties" xmlns:ns2="cd36dca1-6d4f-449c-8f0a-10c0f44a09de" targetNamespace="http://schemas.microsoft.com/office/2006/metadata/properties" ma:root="true" ma:fieldsID="1b24ad33c8bcaecef9dbba42bf28f0a9" ns2:_="">
    <xsd:import namespace="cd36dca1-6d4f-449c-8f0a-10c0f44a0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6dca1-6d4f-449c-8f0a-10c0f44a0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086DC2-7EB3-4A2F-9E98-08C01A923B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BA023-D4E3-4F54-98EB-9916E950C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6dca1-6d4f-449c-8f0a-10c0f44a09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86829D-579A-4DF4-861E-68F556ACD4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9</vt:i4>
      </vt:variant>
    </vt:vector>
  </HeadingPairs>
  <TitlesOfParts>
    <vt:vector size="14" baseType="lpstr">
      <vt:lpstr>Introduktion</vt:lpstr>
      <vt:lpstr>Mina Produktionsnyckeltal</vt:lpstr>
      <vt:lpstr>Uträkning eget foder</vt:lpstr>
      <vt:lpstr>Mitt ekonomiska underlag</vt:lpstr>
      <vt:lpstr>Min kalkyl</vt:lpstr>
      <vt:lpstr>Introduktion!Utskriftsområde</vt:lpstr>
      <vt:lpstr>'Min kalkyl'!Utskriftsområde</vt:lpstr>
      <vt:lpstr>'Mina Produktionsnyckeltal'!Utskriftsområde</vt:lpstr>
      <vt:lpstr>'Mitt ekonomiska underlag'!Utskriftsområde</vt:lpstr>
      <vt:lpstr>'Uträkning eget foder'!Utskriftsområde</vt:lpstr>
      <vt:lpstr>'Min kalkyl'!Utskriftsrubriker</vt:lpstr>
      <vt:lpstr>'Mina Produktionsnyckeltal'!Utskriftsrubriker</vt:lpstr>
      <vt:lpstr>'Mitt ekonomiska underlag'!Utskriftsrubriker</vt:lpstr>
      <vt:lpstr>'Uträkning eget foder'!Utskriftsrubriker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a06jeak1</dc:creator>
  <cp:lastModifiedBy>Ingvar Eriksson</cp:lastModifiedBy>
  <cp:lastPrinted>2021-06-02T12:40:28Z</cp:lastPrinted>
  <dcterms:created xsi:type="dcterms:W3CDTF">2009-10-12T11:54:44Z</dcterms:created>
  <dcterms:modified xsi:type="dcterms:W3CDTF">2022-01-17T11:34:45Z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0x010100E8BEDED63186754FBBC61ED0D8286DB3</vt:lpwstr>
  </property>
</Properties>
</file>