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hid\Desktop\"/>
    </mc:Choice>
  </mc:AlternateContent>
  <xr:revisionPtr revIDLastSave="0" documentId="8_{2D60888D-9A5E-40B9-BD3A-E3AD35338DAA}" xr6:coauthVersionLast="36" xr6:coauthVersionMax="36" xr10:uidLastSave="{00000000-0000-0000-0000-000000000000}"/>
  <bookViews>
    <workbookView xWindow="0" yWindow="0" windowWidth="20160" windowHeight="798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20" i="1" l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 l="1"/>
</calcChain>
</file>

<file path=xl/sharedStrings.xml><?xml version="1.0" encoding="utf-8"?>
<sst xmlns="http://schemas.openxmlformats.org/spreadsheetml/2006/main" count="16" uniqueCount="16">
  <si>
    <t>Slaktvikt</t>
  </si>
  <si>
    <t>Antal dagar före slakt</t>
  </si>
  <si>
    <t>Viktökning per dag:</t>
  </si>
  <si>
    <t>Dagar före slakt</t>
  </si>
  <si>
    <t>gram/dag under utslaktningsperioden</t>
  </si>
  <si>
    <t>Utvägningstabell för slaktgrisar, ett hjälpmedel för att hitta en effektiv leveransstrategi</t>
  </si>
  <si>
    <t xml:space="preserve">I det </t>
  </si>
  <si>
    <t xml:space="preserve">rosa </t>
  </si>
  <si>
    <t>Tänk på att:</t>
  </si>
  <si>
    <t>Ta hänsyn till möjliga lasttillägg.</t>
  </si>
  <si>
    <t>Kontrollera vågen regelbundet.</t>
  </si>
  <si>
    <t>Kastrater kan behöva skickas till slakt något lättare än sogrisar.</t>
  </si>
  <si>
    <t>De första grisarna i omgången är ofta fetast och kan skickas till slakt lättare.</t>
  </si>
  <si>
    <t>Den förväntade slaktvikten varierar mellan individer.</t>
  </si>
  <si>
    <r>
      <t>fältet anger du grisarnas genomsnittliga dagliga viktökningen i avdelningen</t>
    </r>
    <r>
      <rPr>
        <b/>
        <sz val="12"/>
        <color theme="1"/>
        <rFont val="Calibri"/>
        <family val="2"/>
        <scheme val="minor"/>
      </rPr>
      <t xml:space="preserve"> under utslaktningsveckorna</t>
    </r>
    <r>
      <rPr>
        <sz val="12"/>
        <color theme="1"/>
        <rFont val="Calibri"/>
        <family val="2"/>
        <scheme val="minor"/>
      </rPr>
      <t>.</t>
    </r>
  </si>
  <si>
    <t>Därefter kan du, beroende på antal dagar till slaktleverans, se hur mycket grisarna ska väga för att nå önskad slaktvikt.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</si>
</sst>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0" fontId="3" fillId="0" borderId="1" xfId="0" applyFont="1" applyBorder="1"/>
    <xf numFmtId="0" fontId="2" fillId="0" borderId="1" xfId="0" applyFont="1" applyBorder="1"/>
    <xf numFmtId="0" fontId="3" fillId="0" borderId="2" xfId="0" applyFont="1" applyBorder="1"/>
    <xf numFmtId="0" fontId="2" fillId="0" borderId="2" xfId="0" applyFont="1" applyBorder="1"/>
    <xf numFmtId="1" fontId="2" fillId="0" borderId="1" xfId="0" applyNumberFormat="1" applyFont="1" applyBorder="1"/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3"/>
  <sheetViews>
    <sheetView tabSelected="1" workbookViewId="0">
      <selection activeCell="O3" sqref="O3"/>
    </sheetView>
  </sheetViews>
  <sheetFormatPr defaultRowHeight="14.4" x14ac:dyDescent="0.3"/>
  <cols>
    <col min="2" max="2" width="9.109375" hidden="1" customWidth="1"/>
    <col min="3" max="13" width="0" hidden="1" customWidth="1"/>
  </cols>
  <sheetData>
    <row r="1" spans="1:26" ht="18" x14ac:dyDescent="0.35">
      <c r="A1" s="12" t="s">
        <v>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3" spans="1:26" ht="15.6" x14ac:dyDescent="0.3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9">
        <v>950</v>
      </c>
      <c r="P3" s="1" t="s">
        <v>4</v>
      </c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6" x14ac:dyDescent="0.3">
      <c r="A5" s="6" t="s">
        <v>0</v>
      </c>
      <c r="B5" s="7" t="s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1" t="s">
        <v>3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"/>
    </row>
    <row r="6" spans="1:26" ht="15.6" x14ac:dyDescent="0.3">
      <c r="A6" s="2">
        <v>0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  <c r="L6" s="1">
        <v>14</v>
      </c>
      <c r="M6" s="1">
        <v>21</v>
      </c>
      <c r="N6" s="2">
        <v>1</v>
      </c>
      <c r="O6" s="2">
        <v>2</v>
      </c>
      <c r="P6" s="2">
        <v>3</v>
      </c>
      <c r="Q6" s="2">
        <v>4</v>
      </c>
      <c r="R6" s="2">
        <v>5</v>
      </c>
      <c r="S6" s="2">
        <v>6</v>
      </c>
      <c r="T6" s="2">
        <v>7</v>
      </c>
      <c r="U6" s="2">
        <v>8</v>
      </c>
      <c r="V6" s="2">
        <v>9</v>
      </c>
      <c r="W6" s="2">
        <v>10</v>
      </c>
      <c r="X6" s="2">
        <v>14</v>
      </c>
      <c r="Y6" s="2">
        <v>21</v>
      </c>
      <c r="Z6" s="1"/>
    </row>
    <row r="7" spans="1:26" ht="15.6" x14ac:dyDescent="0.3">
      <c r="A7" s="2">
        <v>75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3">
        <f>(75-O3/1000)*1.34</f>
        <v>99.227000000000004</v>
      </c>
      <c r="O7" s="3">
        <f>75*1.34-2*(O3/1000)</f>
        <v>98.6</v>
      </c>
      <c r="P7" s="3">
        <f>75*1.34-3*(O3/1000)</f>
        <v>97.65</v>
      </c>
      <c r="Q7" s="3">
        <f>75*1.34-4*(O3/1000)</f>
        <v>96.7</v>
      </c>
      <c r="R7" s="3">
        <f>75*1.34-5*(O3/1000)</f>
        <v>95.75</v>
      </c>
      <c r="S7" s="3">
        <f>75*1.34-6*(O3/1000)</f>
        <v>94.8</v>
      </c>
      <c r="T7" s="3">
        <f>75*1.34-7*(O3/1000)</f>
        <v>93.85</v>
      </c>
      <c r="U7" s="3">
        <f>75*1.34-8*(O3/1000)</f>
        <v>92.9</v>
      </c>
      <c r="V7" s="3">
        <f>75*1.34-9*(O3/1000)</f>
        <v>91.95</v>
      </c>
      <c r="W7" s="3">
        <f>75*1.34-10*(O3/1000)</f>
        <v>91</v>
      </c>
      <c r="X7" s="3">
        <f>75*1.34-11*(O3/1000)</f>
        <v>90.05</v>
      </c>
      <c r="Y7" s="3">
        <f>75*1.34-21*(O3/1000)</f>
        <v>80.55</v>
      </c>
      <c r="Z7" s="1"/>
    </row>
    <row r="8" spans="1:26" ht="15.6" x14ac:dyDescent="0.3">
      <c r="A8" s="2">
        <v>77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">
        <f>(77-O3/1000)*1.34</f>
        <v>101.907</v>
      </c>
      <c r="O8" s="3">
        <f>77*1.34-2*(Q3/1000)</f>
        <v>103.18</v>
      </c>
      <c r="P8" s="3">
        <f>77*1.34-3*(O3/1000)</f>
        <v>100.33000000000001</v>
      </c>
      <c r="Q8" s="3">
        <f>77*1.34-4*(O3/1000)</f>
        <v>99.38000000000001</v>
      </c>
      <c r="R8" s="3">
        <f>77*1.34-5*(O3/1000)</f>
        <v>98.43</v>
      </c>
      <c r="S8" s="3">
        <f>77*1.34-6*(O3/1000)</f>
        <v>97.48</v>
      </c>
      <c r="T8" s="3">
        <f>77*1.34-7*(O3/1000)</f>
        <v>96.53</v>
      </c>
      <c r="U8" s="3">
        <f>77*1.34-8*(O3/1000)</f>
        <v>95.580000000000013</v>
      </c>
      <c r="V8" s="3">
        <f>77*1.34-9*(O3/1000)</f>
        <v>94.63000000000001</v>
      </c>
      <c r="W8" s="3">
        <f>77*1.34-10*(O3/1000)</f>
        <v>93.68</v>
      </c>
      <c r="X8" s="3">
        <f>77*1.34-14*(O3/1000)</f>
        <v>89.88000000000001</v>
      </c>
      <c r="Y8" s="3">
        <f>77*1.34-21*(O3/1000)</f>
        <v>83.23</v>
      </c>
      <c r="Z8" s="1"/>
    </row>
    <row r="9" spans="1:26" ht="15.6" x14ac:dyDescent="0.3">
      <c r="A9" s="2">
        <v>79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3">
        <f>(79-O3/1000)*1.34</f>
        <v>104.587</v>
      </c>
      <c r="O9" s="3">
        <f>79*1.34-2*(O3/1000)</f>
        <v>103.96</v>
      </c>
      <c r="P9" s="3">
        <f>79*1.34-3*(O3/1000)</f>
        <v>103.01</v>
      </c>
      <c r="Q9" s="3">
        <f>79*1.34-4*(O3/1000)</f>
        <v>102.06</v>
      </c>
      <c r="R9" s="3">
        <f>79*1.34-5*(O3/1000)</f>
        <v>101.11</v>
      </c>
      <c r="S9" s="3">
        <f>79*1.34-6*(O3/1000)</f>
        <v>100.16</v>
      </c>
      <c r="T9" s="3">
        <f>79*1.34-7*(O3/1000)</f>
        <v>99.21</v>
      </c>
      <c r="U9" s="3">
        <f>79*1.34-8*(O3/1000)</f>
        <v>98.26</v>
      </c>
      <c r="V9" s="3">
        <f>79*1.34-9*(O3/1000)</f>
        <v>97.31</v>
      </c>
      <c r="W9" s="3">
        <f>79*1.34-10*(O3/1000)</f>
        <v>96.36</v>
      </c>
      <c r="X9" s="3">
        <f>79*1.34-14*(O3/1000)</f>
        <v>92.56</v>
      </c>
      <c r="Y9" s="3">
        <f>79*1.34-21*(O3/1000)</f>
        <v>85.91</v>
      </c>
      <c r="Z9" s="1"/>
    </row>
    <row r="10" spans="1:26" ht="15.6" x14ac:dyDescent="0.3">
      <c r="A10" s="2">
        <v>81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3">
        <f>(81-O3/1000)*1.34</f>
        <v>107.267</v>
      </c>
      <c r="O10" s="3">
        <f>81*1.34-2*(O3/1000)</f>
        <v>106.64</v>
      </c>
      <c r="P10" s="3">
        <f>81*1.34-3*(O3/1000)</f>
        <v>105.69000000000001</v>
      </c>
      <c r="Q10" s="3">
        <f>81*1.34-4*(O3/1000)</f>
        <v>104.74000000000001</v>
      </c>
      <c r="R10" s="3">
        <f>81*1.34-5*(O3/1000)</f>
        <v>103.79</v>
      </c>
      <c r="S10" s="3">
        <f>81*1.34-6*(O3/1000)</f>
        <v>102.84</v>
      </c>
      <c r="T10" s="3">
        <f>81*1.34-7*(O3/1000)</f>
        <v>101.89</v>
      </c>
      <c r="U10" s="3">
        <f>81*1.34-8*(O3/1000)</f>
        <v>100.94000000000001</v>
      </c>
      <c r="V10" s="3">
        <f>81*1.34-9*(O3/1000)</f>
        <v>99.990000000000009</v>
      </c>
      <c r="W10" s="3">
        <f>81*1.34-10*(O3/1000)</f>
        <v>99.04</v>
      </c>
      <c r="X10" s="3">
        <f>81*1.34-14*(O3/1000)</f>
        <v>95.240000000000009</v>
      </c>
      <c r="Y10" s="3">
        <f>81*1.34-21*(O3/1000)</f>
        <v>88.59</v>
      </c>
      <c r="Z10" s="1"/>
    </row>
    <row r="11" spans="1:26" ht="15.6" x14ac:dyDescent="0.3">
      <c r="A11" s="2">
        <v>83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3">
        <f>(83-O3/1000)*1.34</f>
        <v>109.947</v>
      </c>
      <c r="O11" s="3">
        <f>83*1.34-2*(O3/1000)</f>
        <v>109.32000000000001</v>
      </c>
      <c r="P11" s="3">
        <f>83*1.34-3*(O3/1000)</f>
        <v>108.37000000000002</v>
      </c>
      <c r="Q11" s="3">
        <f>83*1.34-4*(O3/1000)</f>
        <v>107.42000000000002</v>
      </c>
      <c r="R11" s="3">
        <f>83*1.34-5*(O3/1000)</f>
        <v>106.47000000000001</v>
      </c>
      <c r="S11" s="3">
        <f>83*1.34-6*(O3/1000)</f>
        <v>105.52000000000001</v>
      </c>
      <c r="T11" s="3">
        <f>83*1.34-7*(O3/1000)</f>
        <v>104.57000000000001</v>
      </c>
      <c r="U11" s="3">
        <f>83*1.34-8*(O3/1000)</f>
        <v>103.62000000000002</v>
      </c>
      <c r="V11" s="3">
        <f>83*1.34-9*(O3/1000)</f>
        <v>102.67000000000002</v>
      </c>
      <c r="W11" s="3">
        <f>83*1.34-10*(O3/1000)</f>
        <v>101.72000000000001</v>
      </c>
      <c r="X11" s="3">
        <f>83*1.34-14*(O3/1000)</f>
        <v>97.920000000000016</v>
      </c>
      <c r="Y11" s="3">
        <f>83*1.34-21*(O3/1000)</f>
        <v>91.27000000000001</v>
      </c>
      <c r="Z11" s="1"/>
    </row>
    <row r="12" spans="1:26" ht="15.6" x14ac:dyDescent="0.3">
      <c r="A12" s="2">
        <v>85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3">
        <f>(85-O3/1000)*1.34</f>
        <v>112.62700000000001</v>
      </c>
      <c r="O12" s="3">
        <f>85*1.34-2*(O3/1000)</f>
        <v>112</v>
      </c>
      <c r="P12" s="3">
        <f>85*1.34-3*(O3/1000)</f>
        <v>111.05000000000001</v>
      </c>
      <c r="Q12" s="3">
        <f>85*1.34-4*(O3/1000)</f>
        <v>110.10000000000001</v>
      </c>
      <c r="R12" s="3">
        <f>85*1.34-5*(O3/1000)</f>
        <v>109.15</v>
      </c>
      <c r="S12" s="3">
        <f>85*1.34-6*(O3/1000)</f>
        <v>108.2</v>
      </c>
      <c r="T12" s="3">
        <f>85*1.34-7*(O3/1000)</f>
        <v>107.25</v>
      </c>
      <c r="U12" s="3">
        <f>85*1.34-8*(O3/1000)</f>
        <v>106.30000000000001</v>
      </c>
      <c r="V12" s="3">
        <f>85*1.34-9*(O3/1000)</f>
        <v>105.35000000000001</v>
      </c>
      <c r="W12" s="3">
        <f>85*1.34-10*(O3/1000)</f>
        <v>104.4</v>
      </c>
      <c r="X12" s="3">
        <f>85*1.34-14*(O3/1000)</f>
        <v>100.60000000000001</v>
      </c>
      <c r="Y12" s="3">
        <f>85*1.34-21*(O3/1000)</f>
        <v>93.95</v>
      </c>
      <c r="Z12" s="1"/>
    </row>
    <row r="13" spans="1:26" ht="15.6" x14ac:dyDescent="0.3">
      <c r="A13" s="2">
        <v>87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3">
        <f>(87-O3/1000)*1.34</f>
        <v>115.307</v>
      </c>
      <c r="O13" s="3">
        <f>87*1.34-2*(O3/1000)</f>
        <v>114.68</v>
      </c>
      <c r="P13" s="3">
        <f>87*1.34-3*(O3/1000)</f>
        <v>113.73000000000002</v>
      </c>
      <c r="Q13" s="3">
        <f>87*1.34-4*(O3/1000)</f>
        <v>112.78000000000002</v>
      </c>
      <c r="R13" s="3">
        <f>87*1.34-5*(O3/1000)</f>
        <v>111.83000000000001</v>
      </c>
      <c r="S13" s="3">
        <f>87*1.34-6*(O3/1000)</f>
        <v>110.88000000000001</v>
      </c>
      <c r="T13" s="3">
        <f>87*1.34-7*(O3/1000)</f>
        <v>109.93</v>
      </c>
      <c r="U13" s="3">
        <f>87*1.34-8*(O3/1000)</f>
        <v>108.98000000000002</v>
      </c>
      <c r="V13" s="3">
        <f>87*1.34-9*(O3/1000)</f>
        <v>108.03000000000002</v>
      </c>
      <c r="W13" s="3">
        <f>87*1.34-10*(O3/1000)</f>
        <v>107.08000000000001</v>
      </c>
      <c r="X13" s="3">
        <f>87*1.34-14*(O3/1000)</f>
        <v>103.28000000000002</v>
      </c>
      <c r="Y13" s="3">
        <f>87*1.34-21*(O3/1000)</f>
        <v>96.63000000000001</v>
      </c>
      <c r="Z13" s="1"/>
    </row>
    <row r="14" spans="1:26" ht="15.6" x14ac:dyDescent="0.3">
      <c r="A14" s="2">
        <v>89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3">
        <f>(89-O3/1000)*1.34</f>
        <v>117.98700000000001</v>
      </c>
      <c r="O14" s="3">
        <f>89*1.34-2*(O3/1000)</f>
        <v>117.36</v>
      </c>
      <c r="P14" s="3">
        <f>89*1.34-3*(O3/1000)</f>
        <v>116.41000000000001</v>
      </c>
      <c r="Q14" s="3">
        <f>89*1.34-4*(O3/1000)</f>
        <v>115.46000000000001</v>
      </c>
      <c r="R14" s="3">
        <f>89*1.34-5*(O3/1000)</f>
        <v>114.51</v>
      </c>
      <c r="S14" s="3">
        <f>89*1.34-6*(O3/1000)</f>
        <v>113.56</v>
      </c>
      <c r="T14" s="3">
        <f>89*1.34-7*(O3/1000)</f>
        <v>112.61</v>
      </c>
      <c r="U14" s="3">
        <f>89*1.34-8*(O3/1000)</f>
        <v>111.66000000000001</v>
      </c>
      <c r="V14" s="3">
        <f>89*1.34-9*(O3/1000)</f>
        <v>110.71000000000001</v>
      </c>
      <c r="W14" s="3">
        <f>89*1.34-10*(O3/1000)</f>
        <v>109.76</v>
      </c>
      <c r="X14" s="3">
        <f>89*1.34-14*(O3/1000)</f>
        <v>105.96000000000001</v>
      </c>
      <c r="Y14" s="3">
        <f>89*1.34-21*(O3/1000)</f>
        <v>99.31</v>
      </c>
      <c r="Z14" s="1"/>
    </row>
    <row r="15" spans="1:26" ht="15.6" x14ac:dyDescent="0.3">
      <c r="A15" s="2">
        <v>91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">
        <f>(91-O3/1000)*1.34</f>
        <v>120.667</v>
      </c>
      <c r="O15" s="3">
        <f>91*1.34-2*(O3/1000)</f>
        <v>120.04</v>
      </c>
      <c r="P15" s="3">
        <f>91*1.34-3*(O3/1000)</f>
        <v>119.09000000000002</v>
      </c>
      <c r="Q15" s="3">
        <f>91*1.34-4*(O3/1000)</f>
        <v>118.14000000000001</v>
      </c>
      <c r="R15" s="3">
        <f>91*1.34-5*(O3/1000)</f>
        <v>117.19000000000001</v>
      </c>
      <c r="S15" s="3">
        <f>91*1.34-6*(O3/1000)</f>
        <v>116.24000000000001</v>
      </c>
      <c r="T15" s="3">
        <f>91*1.34-7*(O3/1000)</f>
        <v>115.29</v>
      </c>
      <c r="U15" s="3">
        <f>91*1.34-8*(O3/1000)</f>
        <v>114.34000000000002</v>
      </c>
      <c r="V15" s="3">
        <f>91*1.34-9*(O3/1000)</f>
        <v>113.39000000000001</v>
      </c>
      <c r="W15" s="3">
        <f>91*1.34-10*(O3/1000)</f>
        <v>112.44000000000001</v>
      </c>
      <c r="X15" s="3">
        <f>91*1.34-14*(O3/1000)</f>
        <v>108.64000000000001</v>
      </c>
      <c r="Y15" s="3">
        <f>91*1.34-21*(O3/1000)</f>
        <v>101.99000000000001</v>
      </c>
      <c r="Z15" s="1"/>
    </row>
    <row r="16" spans="1:26" ht="15.6" x14ac:dyDescent="0.3">
      <c r="A16" s="2">
        <v>93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">
        <f>(93-O3/1000)*1.34</f>
        <v>123.34700000000001</v>
      </c>
      <c r="O16" s="3">
        <f>93*1.34-2*(O3/1000)</f>
        <v>122.72</v>
      </c>
      <c r="P16" s="3">
        <f>93*1.34-3*(O3/1000)</f>
        <v>121.77000000000001</v>
      </c>
      <c r="Q16" s="3">
        <f>93*1.34-4*(O3/1000)</f>
        <v>120.82000000000001</v>
      </c>
      <c r="R16" s="3">
        <f>93*1.34-5*(O3/1000)</f>
        <v>119.87</v>
      </c>
      <c r="S16" s="3">
        <f>93*1.34-6*(O3/1000)</f>
        <v>118.92</v>
      </c>
      <c r="T16" s="3">
        <f>93*1.34-7*(O3/1000)</f>
        <v>117.97</v>
      </c>
      <c r="U16" s="3">
        <f>93*1.34-8*(O3/1000)</f>
        <v>117.02000000000001</v>
      </c>
      <c r="V16" s="3">
        <f>93*1.34-9*(O3/1000)</f>
        <v>116.07000000000001</v>
      </c>
      <c r="W16" s="3">
        <f>93*1.34-10*(O3/1000)</f>
        <v>115.12</v>
      </c>
      <c r="X16" s="3">
        <f>93*1.34-14*(O3/1000)</f>
        <v>111.32000000000001</v>
      </c>
      <c r="Y16" s="3">
        <f>93*1.34-21*(O3/1000)</f>
        <v>104.67</v>
      </c>
      <c r="Z16" s="1"/>
    </row>
    <row r="17" spans="1:26" ht="15.6" x14ac:dyDescent="0.3">
      <c r="A17" s="2">
        <v>95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">
        <f>(95-O3/1000)*1.34</f>
        <v>126.027</v>
      </c>
      <c r="O17" s="3">
        <f>95*1.34-2*(O3/1000)</f>
        <v>125.4</v>
      </c>
      <c r="P17" s="3">
        <f>95*1.34-3*(O3/1000)</f>
        <v>124.45000000000002</v>
      </c>
      <c r="Q17" s="3">
        <f>95*1.34-4*(O3/1000)</f>
        <v>123.50000000000001</v>
      </c>
      <c r="R17" s="3">
        <f>95*1.34-5*(O3/1000)</f>
        <v>122.55000000000001</v>
      </c>
      <c r="S17" s="3">
        <f>95*1.34-6*(O3/1000)</f>
        <v>121.60000000000001</v>
      </c>
      <c r="T17" s="3">
        <f>95*1.34-7*(O3/1000)</f>
        <v>120.65</v>
      </c>
      <c r="U17" s="3">
        <f>95*1.34-8*(O3/1000)</f>
        <v>119.70000000000002</v>
      </c>
      <c r="V17" s="3">
        <f>95*1.34-9*(O3/1000)</f>
        <v>118.75000000000001</v>
      </c>
      <c r="W17" s="3">
        <f>95*1.34-10*(O3/1000)</f>
        <v>117.80000000000001</v>
      </c>
      <c r="X17" s="3">
        <f>95*1.34-14*(O3/1000)</f>
        <v>114.00000000000001</v>
      </c>
      <c r="Y17" s="3">
        <f>95*1.34-21*(O3/1000)</f>
        <v>107.35000000000001</v>
      </c>
      <c r="Z17" s="1"/>
    </row>
    <row r="18" spans="1:26" ht="15.6" x14ac:dyDescent="0.3">
      <c r="A18" s="2">
        <v>97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">
        <f>(97-O3/1000)*1.34</f>
        <v>128.70699999999999</v>
      </c>
      <c r="O18" s="3">
        <f>97*1.34-2*(O3/1000)</f>
        <v>128.08000000000001</v>
      </c>
      <c r="P18" s="3">
        <f>97*1.34-3*(O3/1000)</f>
        <v>127.13000000000002</v>
      </c>
      <c r="Q18" s="3">
        <f>97*1.34-4*(O3/1000)</f>
        <v>126.18000000000002</v>
      </c>
      <c r="R18" s="3">
        <f>97*1.34-5*(O3/1000)</f>
        <v>125.23000000000002</v>
      </c>
      <c r="S18" s="3">
        <f>97*1.34-6*(O3/1000)</f>
        <v>124.28000000000002</v>
      </c>
      <c r="T18" s="3">
        <f>97*1.34-7*(O3/1000)</f>
        <v>123.33000000000001</v>
      </c>
      <c r="U18" s="3">
        <f>97*1.34-8*(O3/1000)</f>
        <v>122.38000000000002</v>
      </c>
      <c r="V18" s="3">
        <f>97*1.34-9*(O3/1000)</f>
        <v>121.43000000000002</v>
      </c>
      <c r="W18" s="3">
        <f>97*1.34-10*(O3/1000)</f>
        <v>120.48000000000002</v>
      </c>
      <c r="X18" s="3">
        <f>97*1.34-14*(O3/1000)</f>
        <v>116.68000000000002</v>
      </c>
      <c r="Y18" s="3">
        <f>97*1.34-21*(O3/1000)</f>
        <v>110.03000000000002</v>
      </c>
      <c r="Z18" s="1"/>
    </row>
    <row r="19" spans="1:26" ht="15.6" x14ac:dyDescent="0.3">
      <c r="A19" s="2">
        <v>99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">
        <f>(99-O3/1000)*1.34</f>
        <v>131.387</v>
      </c>
      <c r="O19" s="3">
        <f>99*1.34-2*(O3/1000)</f>
        <v>130.76</v>
      </c>
      <c r="P19" s="3">
        <f>99*1.34-3*(O3/1000)</f>
        <v>129.81</v>
      </c>
      <c r="Q19" s="3">
        <f>99*1.34-4*(O3/1000)</f>
        <v>128.85999999999999</v>
      </c>
      <c r="R19" s="3">
        <f>99*1.34-5*(O3/1000)</f>
        <v>127.91</v>
      </c>
      <c r="S19" s="3">
        <f>99*1.34-6*(O3/1000)</f>
        <v>126.96</v>
      </c>
      <c r="T19" s="3">
        <f>99*1.34-7*(O3/1000)</f>
        <v>126.00999999999999</v>
      </c>
      <c r="U19" s="3">
        <f>99*1.34-8*(O3/1000)</f>
        <v>125.06</v>
      </c>
      <c r="V19" s="3">
        <f>99*1.34-9*(O3/1000)</f>
        <v>124.11</v>
      </c>
      <c r="W19" s="3">
        <f>99*1.34-10*(O3/1000)</f>
        <v>123.16</v>
      </c>
      <c r="X19" s="3">
        <f>99*1.34-14*(O3/1000)</f>
        <v>119.36</v>
      </c>
      <c r="Y19" s="3">
        <f>99*1.34-21*(O3/1000)</f>
        <v>112.71</v>
      </c>
      <c r="Z19" s="1"/>
    </row>
    <row r="20" spans="1:26" ht="15.6" x14ac:dyDescent="0.3">
      <c r="A20" s="4">
        <v>101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8">
        <f>(101-O3/1000)*1.34</f>
        <v>134.06700000000001</v>
      </c>
      <c r="O20" s="8">
        <f>101*1.34-2*(O3/1000)</f>
        <v>133.44</v>
      </c>
      <c r="P20" s="8">
        <f>101*1.34-3*(O3/1000)</f>
        <v>132.49</v>
      </c>
      <c r="Q20" s="8">
        <f>101*1.34-4*(O3/1000)</f>
        <v>131.54</v>
      </c>
      <c r="R20" s="8">
        <f>101*1.34-5*(O3/1000)</f>
        <v>130.59</v>
      </c>
      <c r="S20" s="8">
        <f>101*1.34-6*(O3/1000)</f>
        <v>129.64000000000001</v>
      </c>
      <c r="T20" s="8">
        <f>101*1.34-7*(O3/1000)</f>
        <v>128.69</v>
      </c>
      <c r="U20" s="8">
        <f>101*1.34-8*(O3/1000)</f>
        <v>127.74000000000001</v>
      </c>
      <c r="V20" s="8">
        <f>101*1.34-9*(O3/1000)</f>
        <v>126.79</v>
      </c>
      <c r="W20" s="8">
        <f>101*1.34-10*(O3/1000)</f>
        <v>125.84</v>
      </c>
      <c r="X20" s="8">
        <f>101*1.34-14*(O3/1000)</f>
        <v>122.04</v>
      </c>
      <c r="Y20" s="8">
        <f>101*1.34-21*(O3/1000)</f>
        <v>115.39</v>
      </c>
      <c r="Z20" s="1"/>
    </row>
    <row r="21" spans="1:26" ht="15.6" x14ac:dyDescent="0.3"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6" x14ac:dyDescent="0.3">
      <c r="A22" s="1" t="s">
        <v>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0" t="s">
        <v>7</v>
      </c>
      <c r="O22" s="1" t="s">
        <v>14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4" spans="1:26" x14ac:dyDescent="0.3">
      <c r="A24" t="s">
        <v>15</v>
      </c>
    </row>
    <row r="27" spans="1:26" ht="15.6" x14ac:dyDescent="0.3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6" ht="15.6" x14ac:dyDescent="0.3">
      <c r="A28" s="1" t="s">
        <v>13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6" ht="15.6" x14ac:dyDescent="0.3">
      <c r="A29" s="1" t="s">
        <v>12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6" ht="15.6" x14ac:dyDescent="0.3">
      <c r="A30" s="1" t="s">
        <v>11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6" ht="15.6" x14ac:dyDescent="0.3">
      <c r="A31" s="1" t="s">
        <v>10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6" ht="15.6" x14ac:dyDescent="0.3">
      <c r="A32" s="1" t="s">
        <v>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.6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</sheetData>
  <sheetProtection algorithmName="SHA-512" hashValue="9MaoHqv+aZl4jPlb6XVGjq2oMwKtLVhRAttbJoYBYP5aK9d6oTTtg5QNcuS9QKvb6q4162olPXLbAwhnlCzwqQ==" saltValue="wxXgXCODIQ64/bAu2tFuDA==" spinCount="100000" sheet="1" objects="1" scenarios="1" selectLockedCells="1"/>
  <mergeCells count="2">
    <mergeCell ref="N5:Y5"/>
    <mergeCell ref="A1:Y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Barbro</dc:creator>
  <cp:lastModifiedBy>Lina Hidås</cp:lastModifiedBy>
  <cp:lastPrinted>2013-07-03T14:48:48Z</cp:lastPrinted>
  <dcterms:created xsi:type="dcterms:W3CDTF">2013-04-02T13:52:55Z</dcterms:created>
  <dcterms:modified xsi:type="dcterms:W3CDTF">2019-02-27T12:38:59Z</dcterms:modified>
</cp:coreProperties>
</file>